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Samantha\Budget\FY2021\Water Rates\"/>
    </mc:Choice>
  </mc:AlternateContent>
  <bookViews>
    <workbookView xWindow="0" yWindow="0" windowWidth="28800" windowHeight="11700" firstSheet="2" activeTab="2"/>
  </bookViews>
  <sheets>
    <sheet name="FY21 Declining Data" sheetId="6" state="hidden" r:id="rId1"/>
    <sheet name="FY21 Inclining Data" sheetId="5" state="hidden" r:id="rId2"/>
    <sheet name="Results" sheetId="2" r:id="rId3"/>
    <sheet name="Instructions" sheetId="7"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5" i="5" l="1"/>
  <c r="L10" i="6"/>
  <c r="C15" i="6"/>
  <c r="C11" i="6" s="1"/>
  <c r="J70" i="5"/>
  <c r="F19" i="2" s="1"/>
  <c r="K69" i="5" l="1"/>
  <c r="K68" i="5"/>
  <c r="L68" i="5"/>
  <c r="L17" i="6" l="1"/>
  <c r="B19" i="2" s="1"/>
  <c r="N70" i="5"/>
  <c r="B43" i="6"/>
  <c r="C47" i="6" s="1"/>
  <c r="D49" i="6"/>
  <c r="D50" i="6"/>
  <c r="D51" i="6"/>
  <c r="D53" i="6"/>
  <c r="D52" i="6"/>
  <c r="L21" i="6" l="1"/>
  <c r="L19" i="6"/>
  <c r="L20" i="6" l="1"/>
  <c r="L22" i="6" s="1"/>
  <c r="L23" i="6" s="1"/>
  <c r="N16" i="6"/>
  <c r="M16" i="6"/>
  <c r="M15" i="6"/>
  <c r="M14" i="6"/>
  <c r="N15" i="6"/>
  <c r="N14" i="6"/>
  <c r="N60" i="5"/>
  <c r="G60" i="5"/>
  <c r="M23" i="6" l="1"/>
  <c r="N74" i="5"/>
  <c r="L69" i="5"/>
  <c r="N72" i="5"/>
  <c r="H69" i="5"/>
  <c r="H68" i="5"/>
  <c r="H67" i="5"/>
  <c r="G67" i="5"/>
  <c r="G68" i="5"/>
  <c r="G69" i="5"/>
  <c r="A10" i="5"/>
  <c r="A9" i="5"/>
  <c r="J72" i="5"/>
  <c r="J74" i="5"/>
  <c r="M68" i="5" l="1"/>
  <c r="M67" i="5"/>
  <c r="J73" i="5"/>
  <c r="J75" i="5" s="1"/>
  <c r="J76" i="5" s="1"/>
  <c r="I67" i="5"/>
  <c r="N73" i="5"/>
  <c r="N75" i="5" s="1"/>
  <c r="N76" i="5" s="1"/>
  <c r="N67" i="5"/>
  <c r="N68" i="5"/>
  <c r="J67" i="5"/>
  <c r="J68" i="5"/>
  <c r="I69" i="5"/>
  <c r="J69" i="5"/>
  <c r="I68" i="5"/>
  <c r="N77" i="5" l="1"/>
  <c r="N78" i="5" s="1"/>
  <c r="J77" i="5"/>
  <c r="J78" i="5" s="1"/>
  <c r="F20" i="2" s="1"/>
  <c r="H42" i="6"/>
  <c r="H43" i="6"/>
  <c r="G43" i="6"/>
  <c r="G42" i="6"/>
  <c r="B11" i="5" l="1"/>
  <c r="B10" i="5"/>
  <c r="A11" i="5"/>
  <c r="D35" i="6" l="1"/>
  <c r="C43" i="6"/>
  <c r="C42" i="6"/>
  <c r="C44" i="6"/>
  <c r="D44" i="6"/>
  <c r="D43" i="6"/>
  <c r="D42" i="6"/>
  <c r="D46" i="6"/>
  <c r="J43" i="5"/>
  <c r="B43" i="5"/>
  <c r="C16" i="5"/>
  <c r="C14" i="5"/>
  <c r="C11" i="5" l="1"/>
  <c r="C10" i="5"/>
  <c r="C45" i="6"/>
  <c r="B44" i="6"/>
  <c r="D47" i="6"/>
  <c r="D45" i="6"/>
  <c r="C46" i="6"/>
  <c r="C15" i="5"/>
  <c r="C17" i="5" s="1"/>
  <c r="C18" i="5" s="1"/>
  <c r="G14" i="5"/>
  <c r="C48" i="6" l="1"/>
  <c r="R43" i="5"/>
  <c r="Z43" i="5"/>
  <c r="D54" i="6" l="1"/>
  <c r="F45" i="6" l="1"/>
  <c r="B45" i="6"/>
  <c r="B46" i="6" s="1"/>
  <c r="B47" i="6" s="1"/>
  <c r="D48" i="6" s="1"/>
  <c r="B18" i="2" s="1"/>
  <c r="AH43" i="5"/>
  <c r="AH41" i="5" l="1"/>
  <c r="Z41" i="5"/>
  <c r="R41" i="5"/>
  <c r="J41" i="5"/>
  <c r="B41" i="5"/>
  <c r="B10" i="6" l="1"/>
  <c r="B11" i="6"/>
  <c r="B12" i="6"/>
  <c r="A12" i="6"/>
  <c r="A11" i="6"/>
  <c r="A10" i="6"/>
  <c r="B9" i="5"/>
  <c r="F43" i="6" l="1"/>
  <c r="F42" i="6"/>
  <c r="B42" i="6"/>
  <c r="N2" i="6" s="1"/>
  <c r="B17" i="2" s="1"/>
  <c r="B23" i="2" s="1"/>
  <c r="C17" i="6"/>
  <c r="H15" i="6"/>
  <c r="B15" i="2" s="1"/>
  <c r="H46" i="6" l="1"/>
  <c r="H45" i="6"/>
  <c r="G45" i="6"/>
  <c r="G46" i="6"/>
  <c r="F44" i="6"/>
  <c r="F46" i="6" s="1"/>
  <c r="F47" i="6" s="1"/>
  <c r="D13" i="6"/>
  <c r="C13" i="6"/>
  <c r="D12" i="6"/>
  <c r="C12" i="6"/>
  <c r="D11" i="6"/>
  <c r="C16" i="6"/>
  <c r="C18" i="6" s="1"/>
  <c r="C19" i="6" s="1"/>
  <c r="N23" i="6" l="1"/>
  <c r="B20" i="2" s="1"/>
  <c r="G47" i="6"/>
  <c r="G48" i="6" s="1"/>
  <c r="D19" i="6"/>
  <c r="E19" i="6" s="1"/>
  <c r="AH42" i="5"/>
  <c r="AH40" i="5"/>
  <c r="AI16" i="5"/>
  <c r="AI17" i="5" s="1"/>
  <c r="AM14" i="5"/>
  <c r="AI14" i="5"/>
  <c r="Z42" i="5"/>
  <c r="Z40" i="5"/>
  <c r="AA16" i="5"/>
  <c r="AA17" i="5" s="1"/>
  <c r="AE14" i="5"/>
  <c r="AA14" i="5"/>
  <c r="R40" i="5"/>
  <c r="W14" i="5"/>
  <c r="P67" i="5" s="1"/>
  <c r="F15" i="2" s="1"/>
  <c r="S14" i="5"/>
  <c r="R42" i="5"/>
  <c r="J42" i="5"/>
  <c r="J40" i="5"/>
  <c r="O14" i="5"/>
  <c r="S16" i="5"/>
  <c r="S17" i="5" s="1"/>
  <c r="K16" i="5"/>
  <c r="K14" i="5"/>
  <c r="B40" i="5"/>
  <c r="F17" i="2" l="1"/>
  <c r="B16" i="2"/>
  <c r="B24" i="2" s="1"/>
  <c r="D12" i="5"/>
  <c r="C12" i="5"/>
  <c r="D11" i="5"/>
  <c r="D10" i="5"/>
  <c r="Z44" i="5"/>
  <c r="Z45" i="5" s="1"/>
  <c r="AI18" i="5"/>
  <c r="AM18" i="5" s="1"/>
  <c r="AH44" i="5"/>
  <c r="AH45" i="5" s="1"/>
  <c r="AA18" i="5"/>
  <c r="AE18" i="5" s="1"/>
  <c r="R44" i="5"/>
  <c r="R45" i="5" s="1"/>
  <c r="F18" i="2" s="1"/>
  <c r="F23" i="2" s="1"/>
  <c r="S18" i="5"/>
  <c r="K17" i="5"/>
  <c r="K18" i="5" s="1"/>
  <c r="O18" i="5" s="1"/>
  <c r="J44" i="5"/>
  <c r="J45" i="5" s="1"/>
  <c r="B44" i="5"/>
  <c r="W18" i="5" l="1"/>
  <c r="F16" i="2"/>
  <c r="F24" i="2" s="1"/>
  <c r="B25" i="2"/>
  <c r="C13" i="2" s="1"/>
  <c r="D18" i="5"/>
  <c r="D19" i="5" s="1"/>
  <c r="B45" i="5"/>
  <c r="G18" i="5"/>
  <c r="F25" i="2" l="1"/>
  <c r="G13" i="2" s="1"/>
</calcChain>
</file>

<file path=xl/sharedStrings.xml><?xml version="1.0" encoding="utf-8"?>
<sst xmlns="http://schemas.openxmlformats.org/spreadsheetml/2006/main" count="311" uniqueCount="86">
  <si>
    <t>Inside</t>
  </si>
  <si>
    <t>Outside</t>
  </si>
  <si>
    <t>Inside or outside city limits:</t>
  </si>
  <si>
    <t>Type of customer:</t>
  </si>
  <si>
    <t>Residential</t>
  </si>
  <si>
    <t>Institutional</t>
  </si>
  <si>
    <t>Industrial</t>
  </si>
  <si>
    <t>Commercial</t>
  </si>
  <si>
    <t>Meter Size</t>
  </si>
  <si>
    <t>Rate that matches:</t>
  </si>
  <si>
    <t>Base Rate that Matches:</t>
  </si>
  <si>
    <t>Gallon input:</t>
  </si>
  <si>
    <t>Difference:</t>
  </si>
  <si>
    <t>Additional Cost:</t>
  </si>
  <si>
    <t>Total Cost:</t>
  </si>
  <si>
    <t>Water Calculations for all types of customers</t>
  </si>
  <si>
    <t>Amount you pay:</t>
  </si>
  <si>
    <t>Breakdown:</t>
  </si>
  <si>
    <t>Base Rate:</t>
  </si>
  <si>
    <t>Sewer Base Rate:</t>
  </si>
  <si>
    <t>Sewer Usage Cost:</t>
  </si>
  <si>
    <t>Water Base Rate:</t>
  </si>
  <si>
    <t>Water Usage Cost:</t>
  </si>
  <si>
    <t>Residential &amp; Commercial</t>
  </si>
  <si>
    <t>Range Min</t>
  </si>
  <si>
    <t>Water Calculations for RESIDENTIAL</t>
  </si>
  <si>
    <t>Water Calculations for COMMERCIAL</t>
  </si>
  <si>
    <t>Water Calculations for MULTI-FAMILY RESIDENTIAL</t>
  </si>
  <si>
    <t>SEWER- RESIDENTIAL</t>
  </si>
  <si>
    <t>SEWER- MULTI-FAMILY RESIDENTIAL</t>
  </si>
  <si>
    <t>SEWER- COMMERCIAL</t>
  </si>
  <si>
    <t>SEWER- GOVERMENTAL &amp; INSTITUTIONAL</t>
  </si>
  <si>
    <t>Water Calculations for GOVERNMENTAL &amp; INSTITUTIONAL</t>
  </si>
  <si>
    <t>Water Calculations for INDUSTRIAL</t>
  </si>
  <si>
    <t>SEWER- INDUSTRIAL</t>
  </si>
  <si>
    <t>FY21 Rates- Proposed</t>
  </si>
  <si>
    <t>FY 21 Inclining Water Bill Calculations</t>
  </si>
  <si>
    <t>FY 21 Declining Water Bill Calculations</t>
  </si>
  <si>
    <t>Regulatory Compliance:</t>
  </si>
  <si>
    <t>Water Service Fee:</t>
  </si>
  <si>
    <t>Water Quality Fee:</t>
  </si>
  <si>
    <t>Storm Water Fee:</t>
  </si>
  <si>
    <t>Water Franchise Fee:</t>
  </si>
  <si>
    <t>Monthly Water Consumption:</t>
  </si>
  <si>
    <t>Monthly Sewer Consumption:</t>
  </si>
  <si>
    <t>Multi-Family Residential</t>
  </si>
  <si>
    <t>Storm Water</t>
  </si>
  <si>
    <t>Cap:</t>
  </si>
  <si>
    <t>Range Min:</t>
  </si>
  <si>
    <t>Meter size:</t>
  </si>
  <si>
    <t>Res cap =</t>
  </si>
  <si>
    <t>If so, what is your monthly consumption?</t>
  </si>
  <si>
    <t>Irrigation</t>
  </si>
  <si>
    <t>Gov, Institutional, &amp; Industrial</t>
  </si>
  <si>
    <t>Irrigation Base Rate:</t>
  </si>
  <si>
    <t>Irrigation Usage Cost:</t>
  </si>
  <si>
    <t>Irrigation meter size:</t>
  </si>
  <si>
    <t>Base Rate</t>
  </si>
  <si>
    <t>Do you only have irrigation?</t>
  </si>
  <si>
    <t>Water Base Rate</t>
  </si>
  <si>
    <t>Do you also have irrigation?</t>
  </si>
  <si>
    <t>FY21 Phase 2 (Effective 9/1/2021)</t>
  </si>
  <si>
    <t>FY 21 Phase 1 (Effective 10/1/2020)</t>
  </si>
  <si>
    <t>Instructions:</t>
  </si>
  <si>
    <t>Monthly water/sewer consumption:</t>
  </si>
  <si>
    <t>Type of Customer:</t>
  </si>
  <si>
    <t>Meter Size:</t>
  </si>
  <si>
    <t>Click the drop-down menu to select what type of customer you are. This can also be found on your previous bills where it says, "Rate Class."</t>
  </si>
  <si>
    <t>Inside or Outside the City limits:</t>
  </si>
  <si>
    <t xml:space="preserve">You can either put in an estimate, or look at your previous bills to see how much you've consumed per month in the past. It will be displayed as a per thousand amount, so you'll need to convert that. For example, if your bill says 3.4 then you'll just move the decimal place over 3 times to make it 3,400. </t>
  </si>
  <si>
    <t>This is straight forward. However, if you're unsure you can check to see if you have a stormwater charge. Those outside of the city limits will not have this charge.</t>
  </si>
  <si>
    <t>Do you also have irrigation?:</t>
  </si>
  <si>
    <t xml:space="preserve">Answer yes or no. Residential customers usually do not. This is more for commercial, industrial, and institutional. </t>
  </si>
  <si>
    <t>Do you only have irrigation?:</t>
  </si>
  <si>
    <t>No</t>
  </si>
  <si>
    <t>_</t>
  </si>
  <si>
    <t>This is a follow-up question to the previous. It was simpler for calculations to be made if they were separated. Leave blank (_) if you do not have irrigation. For those that do, choose "no" with the option that tells us what else you have. For example, if you also have water meters, choose, "No- water".</t>
  </si>
  <si>
    <t>Remaining irrigation questions:</t>
  </si>
  <si>
    <t xml:space="preserve">Disregard these if you have answered "no" to having irrigation. It is okay if they're filled out. The calculations will not pull these numbers if you've answered "No" to the first irrigation question. </t>
  </si>
  <si>
    <t>Troubleshooting</t>
  </si>
  <si>
    <t>If Result is:</t>
  </si>
  <si>
    <t>Then Try:</t>
  </si>
  <si>
    <t>Double checking that your numbers are inputed correctly. This means making sure there aren't 2 decimal places by accident, making sure there are no letters where numbers are supposed to be, etc.</t>
  </si>
  <si>
    <t>Drop Down Lists:</t>
  </si>
  <si>
    <r>
      <t xml:space="preserve">It is important that you use the drop down arrow to select. If you try to type it in, it will give you and </t>
    </r>
    <r>
      <rPr>
        <sz val="11"/>
        <color theme="5" tint="-0.249977111117893"/>
        <rFont val="Calibri"/>
        <family val="2"/>
        <scheme val="minor"/>
      </rPr>
      <t>error message</t>
    </r>
    <r>
      <rPr>
        <sz val="11"/>
        <color theme="1"/>
        <rFont val="Calibri"/>
        <family val="2"/>
        <scheme val="minor"/>
      </rPr>
      <t xml:space="preserve"> that will tell you to select from the list. If this happens, select </t>
    </r>
    <r>
      <rPr>
        <sz val="11"/>
        <color theme="5" tint="-0.249977111117893"/>
        <rFont val="Calibri"/>
        <family val="2"/>
        <scheme val="minor"/>
      </rPr>
      <t>"Cancel"</t>
    </r>
    <r>
      <rPr>
        <sz val="11"/>
        <color theme="1"/>
        <rFont val="Calibri"/>
        <family val="2"/>
        <scheme val="minor"/>
      </rPr>
      <t xml:space="preserve"> to save you from more headache. </t>
    </r>
  </si>
  <si>
    <t>The typical residential meter size is 5/8, 1, or 1 1/2. If you aren't sure, you may call the Water Business Office to ask: (903) 531-1230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</si>
</sst>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_(* #,##0_);_(* \(#,##0\);_(* &quot;-&quot;??_);_(@_)"/>
    <numFmt numFmtId="165" formatCode="0.000"/>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16"/>
      <color theme="1"/>
      <name val="Calibri"/>
      <family val="2"/>
      <scheme val="minor"/>
    </font>
    <font>
      <sz val="11"/>
      <color theme="5" tint="-0.249977111117893"/>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8" tint="0.59999389629810485"/>
        <bgColor indexed="64"/>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38">
    <xf numFmtId="0" fontId="0" fillId="0" borderId="0" xfId="0"/>
    <xf numFmtId="0" fontId="0" fillId="0" borderId="0" xfId="0" applyBorder="1" applyAlignment="1">
      <alignment horizontal="center"/>
    </xf>
    <xf numFmtId="0" fontId="2" fillId="0" borderId="6" xfId="0" applyFont="1" applyBorder="1" applyAlignment="1">
      <alignment horizontal="right"/>
    </xf>
    <xf numFmtId="0" fontId="2" fillId="0" borderId="0" xfId="0" applyFont="1" applyBorder="1" applyAlignment="1">
      <alignment horizontal="right"/>
    </xf>
    <xf numFmtId="0" fontId="0" fillId="0" borderId="0" xfId="0" applyAlignment="1">
      <alignment horizontal="center"/>
    </xf>
    <xf numFmtId="164" fontId="0" fillId="0" borderId="1" xfId="1" applyNumberFormat="1" applyFont="1" applyBorder="1"/>
    <xf numFmtId="0" fontId="2" fillId="0" borderId="10" xfId="0" applyFont="1" applyBorder="1" applyAlignment="1">
      <alignment horizontal="center"/>
    </xf>
    <xf numFmtId="0" fontId="2" fillId="0" borderId="2" xfId="0" applyFont="1" applyBorder="1"/>
    <xf numFmtId="44" fontId="2" fillId="0" borderId="11" xfId="0" applyNumberFormat="1" applyFont="1" applyBorder="1"/>
    <xf numFmtId="44" fontId="0" fillId="0" borderId="12" xfId="2" applyFont="1" applyBorder="1"/>
    <xf numFmtId="0" fontId="2" fillId="0" borderId="3" xfId="0" applyFont="1" applyBorder="1" applyAlignment="1">
      <alignment horizontal="center"/>
    </xf>
    <xf numFmtId="0" fontId="0" fillId="0" borderId="5" xfId="0" applyBorder="1"/>
    <xf numFmtId="0" fontId="0" fillId="0" borderId="7" xfId="0" applyBorder="1"/>
    <xf numFmtId="0" fontId="0" fillId="0" borderId="6" xfId="0" applyBorder="1"/>
    <xf numFmtId="0" fontId="0" fillId="0" borderId="0" xfId="0" applyBorder="1"/>
    <xf numFmtId="0" fontId="0" fillId="0" borderId="8" xfId="0" applyBorder="1"/>
    <xf numFmtId="0" fontId="0" fillId="0" borderId="1" xfId="0" applyBorder="1"/>
    <xf numFmtId="0" fontId="0" fillId="0" borderId="9" xfId="0" applyBorder="1"/>
    <xf numFmtId="44" fontId="0" fillId="0" borderId="0" xfId="0" applyNumberFormat="1" applyBorder="1"/>
    <xf numFmtId="44" fontId="0" fillId="0" borderId="0" xfId="2" applyFont="1" applyBorder="1"/>
    <xf numFmtId="0" fontId="2" fillId="0" borderId="3" xfId="0" applyFont="1" applyBorder="1"/>
    <xf numFmtId="0" fontId="0" fillId="0" borderId="4" xfId="0" applyBorder="1"/>
    <xf numFmtId="0" fontId="0" fillId="0" borderId="4" xfId="0" applyBorder="1" applyAlignment="1">
      <alignment horizontal="center"/>
    </xf>
    <xf numFmtId="0" fontId="2" fillId="0" borderId="6" xfId="0" applyFont="1" applyBorder="1" applyAlignment="1">
      <alignment horizontal="center"/>
    </xf>
    <xf numFmtId="0" fontId="2" fillId="0" borderId="0" xfId="0" applyFont="1" applyBorder="1" applyAlignment="1">
      <alignment horizontal="center"/>
    </xf>
    <xf numFmtId="164" fontId="0" fillId="0" borderId="6" xfId="1" applyNumberFormat="1" applyFont="1" applyBorder="1"/>
    <xf numFmtId="12" fontId="0" fillId="0" borderId="0" xfId="0" applyNumberFormat="1" applyBorder="1" applyAlignment="1">
      <alignment horizontal="center"/>
    </xf>
    <xf numFmtId="44" fontId="2" fillId="0" borderId="0" xfId="2" applyFont="1" applyBorder="1"/>
    <xf numFmtId="0" fontId="2" fillId="0" borderId="0" xfId="0" applyFont="1" applyBorder="1"/>
    <xf numFmtId="164" fontId="0" fillId="0" borderId="0" xfId="1" applyNumberFormat="1" applyFont="1" applyBorder="1"/>
    <xf numFmtId="164" fontId="0" fillId="0" borderId="0" xfId="0" applyNumberFormat="1" applyBorder="1"/>
    <xf numFmtId="0" fontId="0" fillId="0" borderId="1" xfId="0" applyBorder="1" applyAlignment="1">
      <alignment horizontal="center"/>
    </xf>
    <xf numFmtId="12" fontId="0" fillId="0" borderId="6" xfId="0" applyNumberFormat="1" applyBorder="1" applyAlignment="1">
      <alignment horizontal="center"/>
    </xf>
    <xf numFmtId="0" fontId="0" fillId="0" borderId="6" xfId="0" applyBorder="1" applyAlignment="1">
      <alignment horizontal="center"/>
    </xf>
    <xf numFmtId="0" fontId="2" fillId="0" borderId="6" xfId="0" applyFont="1" applyBorder="1" applyAlignment="1"/>
    <xf numFmtId="0" fontId="0" fillId="0" borderId="3" xfId="0" applyBorder="1"/>
    <xf numFmtId="0" fontId="2" fillId="0" borderId="4" xfId="0" applyFont="1" applyBorder="1" applyAlignment="1">
      <alignment horizontal="center"/>
    </xf>
    <xf numFmtId="0" fontId="0" fillId="0" borderId="0" xfId="0" applyBorder="1" applyAlignment="1">
      <alignment horizontal="right"/>
    </xf>
    <xf numFmtId="2" fontId="0" fillId="0" borderId="0" xfId="0" applyNumberFormat="1" applyBorder="1" applyAlignment="1">
      <alignment horizontal="center"/>
    </xf>
    <xf numFmtId="0" fontId="0" fillId="0" borderId="6" xfId="0" applyBorder="1" applyAlignment="1">
      <alignment horizontal="right"/>
    </xf>
    <xf numFmtId="0" fontId="2" fillId="0" borderId="0" xfId="0" applyFont="1" applyBorder="1" applyAlignment="1"/>
    <xf numFmtId="165" fontId="0" fillId="0" borderId="0" xfId="0" applyNumberFormat="1" applyBorder="1" applyAlignment="1">
      <alignment horizontal="center"/>
    </xf>
    <xf numFmtId="2" fontId="0" fillId="0" borderId="0" xfId="0" applyNumberFormat="1" applyBorder="1"/>
    <xf numFmtId="44" fontId="0" fillId="0" borderId="5" xfId="2" applyFont="1" applyBorder="1"/>
    <xf numFmtId="44" fontId="0" fillId="0" borderId="7" xfId="2" applyFont="1" applyBorder="1"/>
    <xf numFmtId="44" fontId="2" fillId="0" borderId="12" xfId="0" applyNumberFormat="1" applyFont="1" applyBorder="1"/>
    <xf numFmtId="0" fontId="2" fillId="0" borderId="5" xfId="0" applyFont="1" applyBorder="1" applyAlignment="1">
      <alignment horizontal="center"/>
    </xf>
    <xf numFmtId="44" fontId="0" fillId="0" borderId="6" xfId="0" applyNumberFormat="1" applyBorder="1"/>
    <xf numFmtId="44" fontId="0" fillId="0" borderId="7" xfId="0" applyNumberFormat="1" applyBorder="1"/>
    <xf numFmtId="44" fontId="0" fillId="0" borderId="8" xfId="0" applyNumberFormat="1" applyBorder="1"/>
    <xf numFmtId="44" fontId="0" fillId="0" borderId="9" xfId="0" applyNumberFormat="1" applyBorder="1"/>
    <xf numFmtId="43" fontId="0" fillId="0" borderId="0" xfId="1" applyFont="1" applyBorder="1"/>
    <xf numFmtId="43" fontId="0" fillId="0" borderId="8" xfId="1" applyFont="1" applyBorder="1"/>
    <xf numFmtId="44" fontId="0" fillId="0" borderId="1" xfId="0" applyNumberFormat="1" applyBorder="1"/>
    <xf numFmtId="43" fontId="0" fillId="0" borderId="3" xfId="1" applyFont="1" applyBorder="1"/>
    <xf numFmtId="43" fontId="0" fillId="0" borderId="5" xfId="1" applyFont="1" applyBorder="1"/>
    <xf numFmtId="43" fontId="0" fillId="0" borderId="6" xfId="1" applyFont="1" applyBorder="1"/>
    <xf numFmtId="43" fontId="0" fillId="0" borderId="7" xfId="1" applyFont="1" applyBorder="1"/>
    <xf numFmtId="43" fontId="0" fillId="0" borderId="9" xfId="1" applyFont="1" applyBorder="1"/>
    <xf numFmtId="43" fontId="0" fillId="0" borderId="0" xfId="0" applyNumberFormat="1" applyBorder="1"/>
    <xf numFmtId="43" fontId="2" fillId="0" borderId="12" xfId="0" applyNumberFormat="1" applyFont="1" applyBorder="1"/>
    <xf numFmtId="0" fontId="0" fillId="0" borderId="6" xfId="0" applyFill="1" applyBorder="1"/>
    <xf numFmtId="0" fontId="0" fillId="0" borderId="8" xfId="0" applyFill="1" applyBorder="1"/>
    <xf numFmtId="44" fontId="2" fillId="4" borderId="5" xfId="0" applyNumberFormat="1" applyFont="1" applyFill="1" applyBorder="1"/>
    <xf numFmtId="0" fontId="0" fillId="0" borderId="0" xfId="0" applyFill="1" applyBorder="1"/>
    <xf numFmtId="43" fontId="0" fillId="0" borderId="0" xfId="1" applyFont="1" applyFill="1" applyBorder="1" applyAlignment="1">
      <alignment horizontal="center"/>
    </xf>
    <xf numFmtId="43" fontId="2" fillId="0" borderId="0" xfId="0" applyNumberFormat="1" applyFont="1" applyBorder="1"/>
    <xf numFmtId="0" fontId="2" fillId="0" borderId="5" xfId="0" applyFont="1" applyBorder="1"/>
    <xf numFmtId="44" fontId="0" fillId="0" borderId="13" xfId="0" applyNumberFormat="1" applyBorder="1"/>
    <xf numFmtId="44" fontId="0" fillId="0" borderId="14" xfId="0" applyNumberFormat="1" applyBorder="1"/>
    <xf numFmtId="44" fontId="0" fillId="0" borderId="10" xfId="2" applyFont="1" applyBorder="1"/>
    <xf numFmtId="0" fontId="0" fillId="0" borderId="1" xfId="0" applyFont="1" applyBorder="1"/>
    <xf numFmtId="44" fontId="2" fillId="2" borderId="1" xfId="0" applyNumberFormat="1" applyFont="1" applyFill="1" applyBorder="1"/>
    <xf numFmtId="0" fontId="2" fillId="0" borderId="0" xfId="0" applyFont="1" applyBorder="1" applyAlignment="1">
      <alignment horizontal="right"/>
    </xf>
    <xf numFmtId="12" fontId="0" fillId="0" borderId="0" xfId="0" applyNumberFormat="1" applyAlignment="1">
      <alignment horizontal="center" vertical="center"/>
    </xf>
    <xf numFmtId="0" fontId="0" fillId="0" borderId="0" xfId="0" applyAlignment="1">
      <alignment horizontal="center" vertical="center"/>
    </xf>
    <xf numFmtId="2" fontId="0" fillId="0" borderId="0" xfId="0" applyNumberFormat="1" applyAlignment="1">
      <alignment horizontal="center"/>
    </xf>
    <xf numFmtId="2" fontId="0" fillId="0" borderId="7" xfId="0" applyNumberFormat="1" applyBorder="1" applyAlignment="1">
      <alignment horizontal="center"/>
    </xf>
    <xf numFmtId="0" fontId="2" fillId="0" borderId="2" xfId="0" applyFont="1" applyBorder="1" applyAlignment="1">
      <alignment horizontal="center"/>
    </xf>
    <xf numFmtId="0" fontId="2" fillId="0" borderId="11" xfId="0" applyFont="1" applyBorder="1" applyAlignment="1">
      <alignment horizontal="center"/>
    </xf>
    <xf numFmtId="164" fontId="0" fillId="0" borderId="6" xfId="1" applyNumberFormat="1" applyFont="1" applyBorder="1" applyAlignment="1">
      <alignment horizontal="center" vertical="center"/>
    </xf>
    <xf numFmtId="2" fontId="0" fillId="0" borderId="7" xfId="0" applyNumberFormat="1" applyFill="1" applyBorder="1" applyAlignment="1">
      <alignment horizontal="center"/>
    </xf>
    <xf numFmtId="43" fontId="0" fillId="0" borderId="4" xfId="1" applyFont="1" applyBorder="1"/>
    <xf numFmtId="43" fontId="2" fillId="0" borderId="0" xfId="1" applyFont="1" applyBorder="1"/>
    <xf numFmtId="2" fontId="2" fillId="0" borderId="7" xfId="0" applyNumberFormat="1" applyFont="1" applyBorder="1"/>
    <xf numFmtId="44" fontId="2" fillId="0" borderId="7" xfId="2" applyFont="1" applyBorder="1"/>
    <xf numFmtId="164" fontId="0" fillId="0" borderId="7" xfId="1" applyNumberFormat="1" applyFont="1" applyBorder="1"/>
    <xf numFmtId="164" fontId="0" fillId="0" borderId="9" xfId="1" applyNumberFormat="1" applyFont="1" applyBorder="1"/>
    <xf numFmtId="164" fontId="0" fillId="0" borderId="7" xfId="0" applyNumberFormat="1" applyBorder="1"/>
    <xf numFmtId="2" fontId="0" fillId="0" borderId="11" xfId="0" applyNumberFormat="1" applyBorder="1"/>
    <xf numFmtId="44" fontId="2" fillId="0" borderId="9" xfId="0" applyNumberFormat="1" applyFont="1" applyBorder="1"/>
    <xf numFmtId="2" fontId="2" fillId="0" borderId="0" xfId="0" applyNumberFormat="1" applyFont="1" applyBorder="1"/>
    <xf numFmtId="0" fontId="0" fillId="3" borderId="0" xfId="0" applyFill="1"/>
    <xf numFmtId="164" fontId="0" fillId="5" borderId="5" xfId="1" applyNumberFormat="1" applyFont="1" applyFill="1" applyBorder="1" applyAlignment="1">
      <alignment horizontal="right"/>
    </xf>
    <xf numFmtId="164" fontId="0" fillId="5" borderId="7" xfId="1" applyNumberFormat="1" applyFont="1" applyFill="1" applyBorder="1" applyAlignment="1">
      <alignment horizontal="right"/>
    </xf>
    <xf numFmtId="0" fontId="0" fillId="5" borderId="7" xfId="0" applyFill="1" applyBorder="1" applyAlignment="1">
      <alignment horizontal="right"/>
    </xf>
    <xf numFmtId="0" fontId="0" fillId="5" borderId="9" xfId="0" applyFill="1" applyBorder="1" applyAlignment="1">
      <alignment horizontal="right"/>
    </xf>
    <xf numFmtId="0" fontId="0" fillId="0" borderId="0" xfId="0" applyAlignment="1">
      <alignment horizontal="right"/>
    </xf>
    <xf numFmtId="0" fontId="4" fillId="0" borderId="6" xfId="0" applyFont="1" applyBorder="1" applyAlignment="1">
      <alignment horizontal="center"/>
    </xf>
    <xf numFmtId="0" fontId="4" fillId="0" borderId="0" xfId="0" applyFont="1" applyBorder="1" applyAlignment="1">
      <alignment horizontal="center"/>
    </xf>
    <xf numFmtId="0" fontId="2" fillId="0" borderId="0" xfId="0" applyFont="1" applyBorder="1" applyAlignment="1">
      <alignment horizontal="right"/>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2" fillId="0" borderId="8" xfId="0" applyFont="1" applyBorder="1" applyAlignment="1">
      <alignment horizontal="center"/>
    </xf>
    <xf numFmtId="0" fontId="2" fillId="0" borderId="1" xfId="0" applyFont="1" applyBorder="1" applyAlignment="1">
      <alignment horizontal="center"/>
    </xf>
    <xf numFmtId="0" fontId="4" fillId="3" borderId="3" xfId="0" applyFont="1" applyFill="1" applyBorder="1" applyAlignment="1">
      <alignment horizontal="center"/>
    </xf>
    <xf numFmtId="0" fontId="4" fillId="3" borderId="4" xfId="0" applyFont="1" applyFill="1" applyBorder="1" applyAlignment="1">
      <alignment horizontal="center"/>
    </xf>
    <xf numFmtId="0" fontId="4" fillId="3" borderId="5" xfId="0" applyFont="1" applyFill="1" applyBorder="1" applyAlignment="1">
      <alignment horizontal="center"/>
    </xf>
    <xf numFmtId="0" fontId="2" fillId="0" borderId="6" xfId="0" applyFont="1" applyBorder="1" applyAlignment="1">
      <alignment horizontal="right"/>
    </xf>
    <xf numFmtId="0" fontId="0" fillId="3" borderId="0" xfId="0" applyFill="1" applyAlignment="1">
      <alignment horizontal="center"/>
    </xf>
    <xf numFmtId="0" fontId="2" fillId="3" borderId="3" xfId="0" applyFont="1" applyFill="1" applyBorder="1" applyAlignment="1">
      <alignment horizontal="center"/>
    </xf>
    <xf numFmtId="0" fontId="2" fillId="3" borderId="4" xfId="0" applyFont="1" applyFill="1" applyBorder="1" applyAlignment="1">
      <alignment horizontal="center"/>
    </xf>
    <xf numFmtId="0" fontId="2" fillId="3" borderId="5" xfId="0" applyFont="1" applyFill="1" applyBorder="1" applyAlignment="1">
      <alignment horizontal="center"/>
    </xf>
    <xf numFmtId="0" fontId="2" fillId="3" borderId="8" xfId="0" applyFont="1" applyFill="1" applyBorder="1" applyAlignment="1">
      <alignment horizontal="center"/>
    </xf>
    <xf numFmtId="0" fontId="2" fillId="3" borderId="1" xfId="0" applyFont="1" applyFill="1" applyBorder="1" applyAlignment="1">
      <alignment horizontal="center"/>
    </xf>
    <xf numFmtId="0" fontId="0" fillId="4" borderId="1" xfId="0" applyFill="1" applyBorder="1" applyAlignment="1">
      <alignment horizontal="center"/>
    </xf>
    <xf numFmtId="0" fontId="2" fillId="6" borderId="0" xfId="0" applyFont="1" applyFill="1" applyAlignment="1">
      <alignment horizontal="center"/>
    </xf>
    <xf numFmtId="0" fontId="0" fillId="0" borderId="6" xfId="0" applyBorder="1" applyAlignment="1">
      <alignment horizontal="left"/>
    </xf>
    <xf numFmtId="0" fontId="0" fillId="0" borderId="0" xfId="0" applyBorder="1" applyAlignment="1">
      <alignment horizontal="left"/>
    </xf>
    <xf numFmtId="0" fontId="3" fillId="0" borderId="0" xfId="0" applyFont="1" applyAlignment="1">
      <alignment horizontal="center"/>
    </xf>
    <xf numFmtId="0" fontId="2" fillId="0" borderId="3" xfId="0" applyFont="1" applyBorder="1" applyAlignment="1">
      <alignment horizontal="right"/>
    </xf>
    <xf numFmtId="0" fontId="2" fillId="0" borderId="4" xfId="0" applyFont="1" applyBorder="1" applyAlignment="1">
      <alignment horizontal="right"/>
    </xf>
    <xf numFmtId="0" fontId="2" fillId="0" borderId="3" xfId="0" applyFont="1" applyBorder="1" applyAlignment="1">
      <alignment horizontal="center"/>
    </xf>
    <xf numFmtId="0" fontId="2" fillId="0" borderId="4" xfId="0" applyFont="1" applyBorder="1" applyAlignment="1">
      <alignment horizontal="center"/>
    </xf>
    <xf numFmtId="0" fontId="2" fillId="0" borderId="8" xfId="0" applyFont="1" applyBorder="1" applyAlignment="1">
      <alignment horizontal="right"/>
    </xf>
    <xf numFmtId="0" fontId="2" fillId="0" borderId="1" xfId="0" applyFont="1" applyBorder="1" applyAlignment="1">
      <alignment horizontal="right"/>
    </xf>
    <xf numFmtId="0" fontId="0" fillId="0" borderId="1" xfId="0" applyBorder="1" applyAlignment="1">
      <alignment horizontal="center" wrapText="1"/>
    </xf>
    <xf numFmtId="0" fontId="0" fillId="0" borderId="4" xfId="0" applyBorder="1" applyAlignment="1">
      <alignment horizontal="center" wrapText="1"/>
    </xf>
    <xf numFmtId="0" fontId="0" fillId="0" borderId="2" xfId="0" applyBorder="1" applyAlignment="1">
      <alignment vertical="center"/>
    </xf>
    <xf numFmtId="0" fontId="0" fillId="0" borderId="2" xfId="0" applyBorder="1" applyAlignment="1">
      <alignment horizontal="center" wrapText="1"/>
    </xf>
    <xf numFmtId="0" fontId="0" fillId="0" borderId="2" xfId="0" applyFill="1" applyBorder="1" applyAlignment="1">
      <alignment vertical="center"/>
    </xf>
    <xf numFmtId="0" fontId="0" fillId="0" borderId="2" xfId="0" applyFill="1" applyBorder="1" applyAlignment="1">
      <alignment horizontal="left" vertical="center"/>
    </xf>
    <xf numFmtId="0" fontId="0" fillId="0" borderId="1" xfId="0" applyBorder="1" applyAlignment="1">
      <alignment horizontal="left" vertical="center"/>
    </xf>
    <xf numFmtId="0" fontId="5" fillId="0" borderId="1" xfId="0" applyFont="1" applyBorder="1" applyAlignment="1">
      <alignment horizontal="center"/>
    </xf>
    <xf numFmtId="0" fontId="2" fillId="0" borderId="2" xfId="0" applyFont="1" applyBorder="1" applyAlignment="1">
      <alignment horizontal="left"/>
    </xf>
    <xf numFmtId="0" fontId="0" fillId="0" borderId="4" xfId="0" applyBorder="1" applyAlignment="1">
      <alignment horizontal="center" vertical="center"/>
    </xf>
    <xf numFmtId="0" fontId="0" fillId="0" borderId="1" xfId="0" applyBorder="1" applyAlignment="1">
      <alignment horizontal="center" vertical="center"/>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
  <sheetViews>
    <sheetView workbookViewId="0">
      <selection activeCell="L10" sqref="L10"/>
    </sheetView>
  </sheetViews>
  <sheetFormatPr defaultRowHeight="15" x14ac:dyDescent="0.25"/>
  <cols>
    <col min="1" max="1" width="17.140625" customWidth="1"/>
    <col min="2" max="2" width="13" customWidth="1"/>
    <col min="3" max="3" width="11.5703125" bestFit="1" customWidth="1"/>
    <col min="4" max="4" width="14.28515625" bestFit="1" customWidth="1"/>
    <col min="5" max="5" width="12.140625" customWidth="1"/>
    <col min="6" max="6" width="13.28515625" customWidth="1"/>
    <col min="7" max="8" width="11.5703125" bestFit="1" customWidth="1"/>
    <col min="11" max="11" width="12.140625" bestFit="1" customWidth="1"/>
    <col min="12" max="12" width="11.28515625" bestFit="1" customWidth="1"/>
    <col min="13" max="13" width="9.42578125" bestFit="1" customWidth="1"/>
    <col min="14" max="14" width="11.85546875" bestFit="1" customWidth="1"/>
    <col min="15" max="15" width="22.42578125" bestFit="1" customWidth="1"/>
  </cols>
  <sheetData>
    <row r="1" spans="1:14" x14ac:dyDescent="0.25">
      <c r="A1" s="20" t="s">
        <v>35</v>
      </c>
      <c r="B1" s="21"/>
      <c r="C1" s="21"/>
      <c r="D1" s="21"/>
      <c r="E1" s="21"/>
      <c r="F1" s="22"/>
      <c r="G1" s="21"/>
      <c r="H1" s="21"/>
      <c r="I1" s="11"/>
    </row>
    <row r="2" spans="1:14" ht="15.75" x14ac:dyDescent="0.25">
      <c r="A2" s="98" t="s">
        <v>15</v>
      </c>
      <c r="B2" s="99"/>
      <c r="C2" s="99"/>
      <c r="D2" s="99"/>
      <c r="E2" s="99"/>
      <c r="F2" s="99"/>
      <c r="G2" s="99"/>
      <c r="H2" s="99"/>
      <c r="I2" s="12"/>
      <c r="N2">
        <f>IF(K5="industrial",'FY21 Declining Data'!F42,'FY21 Declining Data'!B42)</f>
        <v>19.100000000000001</v>
      </c>
    </row>
    <row r="3" spans="1:14" x14ac:dyDescent="0.25">
      <c r="A3" s="23" t="s">
        <v>24</v>
      </c>
      <c r="B3" s="24" t="s">
        <v>0</v>
      </c>
      <c r="C3" s="24" t="s">
        <v>1</v>
      </c>
      <c r="D3" s="24"/>
      <c r="E3" s="14"/>
      <c r="F3" s="24" t="s">
        <v>8</v>
      </c>
      <c r="G3" s="24" t="s">
        <v>0</v>
      </c>
      <c r="H3" s="24" t="s">
        <v>1</v>
      </c>
      <c r="I3" s="12"/>
    </row>
    <row r="4" spans="1:14" x14ac:dyDescent="0.25">
      <c r="A4" s="25">
        <v>2000</v>
      </c>
      <c r="B4" s="19">
        <v>3.4</v>
      </c>
      <c r="C4" s="19">
        <v>5.0999999999999996</v>
      </c>
      <c r="D4" s="19"/>
      <c r="E4" s="14"/>
      <c r="F4" s="26">
        <v>0.625</v>
      </c>
      <c r="G4" s="38">
        <v>15.8</v>
      </c>
      <c r="H4" s="38">
        <v>23.7</v>
      </c>
      <c r="I4" s="12"/>
      <c r="K4" t="s">
        <v>46</v>
      </c>
    </row>
    <row r="5" spans="1:14" x14ac:dyDescent="0.25">
      <c r="A5" s="25">
        <v>25000</v>
      </c>
      <c r="B5" s="19">
        <v>2.29</v>
      </c>
      <c r="C5" s="19">
        <v>3.44</v>
      </c>
      <c r="D5" s="19"/>
      <c r="E5" s="14"/>
      <c r="F5" s="1">
        <v>1</v>
      </c>
      <c r="G5" s="38">
        <v>15.8</v>
      </c>
      <c r="H5" s="38">
        <v>23.7</v>
      </c>
      <c r="I5" s="12"/>
      <c r="K5" s="35" t="s">
        <v>4</v>
      </c>
      <c r="L5" s="11">
        <v>25</v>
      </c>
    </row>
    <row r="6" spans="1:14" x14ac:dyDescent="0.25">
      <c r="A6" s="25">
        <v>1000000</v>
      </c>
      <c r="B6" s="19">
        <v>1.9</v>
      </c>
      <c r="C6" s="19">
        <v>2.85</v>
      </c>
      <c r="D6" s="19"/>
      <c r="E6" s="14"/>
      <c r="F6" s="26">
        <v>1.5</v>
      </c>
      <c r="G6" s="38">
        <v>15.8</v>
      </c>
      <c r="H6" s="38">
        <v>23.7</v>
      </c>
      <c r="I6" s="12"/>
      <c r="K6" s="13" t="s">
        <v>7</v>
      </c>
      <c r="L6" s="12">
        <v>208.32</v>
      </c>
    </row>
    <row r="7" spans="1:14" x14ac:dyDescent="0.25">
      <c r="A7" s="25">
        <v>5000000</v>
      </c>
      <c r="B7" s="19">
        <v>1.83</v>
      </c>
      <c r="C7" s="19">
        <v>2.75</v>
      </c>
      <c r="D7" s="19"/>
      <c r="E7" s="14"/>
      <c r="F7" s="1">
        <v>2</v>
      </c>
      <c r="G7" s="38">
        <v>18.5</v>
      </c>
      <c r="H7" s="38">
        <v>27.75</v>
      </c>
      <c r="I7" s="12"/>
      <c r="K7" s="61" t="s">
        <v>6</v>
      </c>
      <c r="L7" s="12">
        <v>208.32</v>
      </c>
    </row>
    <row r="8" spans="1:14" x14ac:dyDescent="0.25">
      <c r="A8" s="13"/>
      <c r="B8" s="14"/>
      <c r="C8" s="14"/>
      <c r="D8" s="14"/>
      <c r="E8" s="14"/>
      <c r="F8" s="1">
        <v>3</v>
      </c>
      <c r="G8" s="38">
        <v>21.4</v>
      </c>
      <c r="H8" s="38">
        <v>32.1</v>
      </c>
      <c r="I8" s="12"/>
      <c r="K8" s="61" t="s">
        <v>5</v>
      </c>
      <c r="L8" s="12">
        <v>208.32</v>
      </c>
    </row>
    <row r="9" spans="1:14" x14ac:dyDescent="0.25">
      <c r="A9" s="10" t="s">
        <v>0</v>
      </c>
      <c r="B9" s="36" t="s">
        <v>1</v>
      </c>
      <c r="C9" s="14"/>
      <c r="D9" s="14"/>
      <c r="E9" s="14"/>
      <c r="F9" s="1">
        <v>4</v>
      </c>
      <c r="G9" s="38">
        <v>32.5</v>
      </c>
      <c r="H9" s="38">
        <v>48.75</v>
      </c>
      <c r="I9" s="12"/>
      <c r="K9" s="62" t="s">
        <v>45</v>
      </c>
      <c r="L9" s="17">
        <v>208.32</v>
      </c>
    </row>
    <row r="10" spans="1:14" x14ac:dyDescent="0.25">
      <c r="A10" s="47">
        <f>23*B4</f>
        <v>78.2</v>
      </c>
      <c r="B10" s="47">
        <f>23*C4</f>
        <v>117.3</v>
      </c>
      <c r="C10" s="51"/>
      <c r="D10" s="51"/>
      <c r="E10" s="14"/>
      <c r="F10" s="1">
        <v>6</v>
      </c>
      <c r="G10" s="38">
        <v>48</v>
      </c>
      <c r="H10" s="38">
        <v>72</v>
      </c>
      <c r="I10" s="12"/>
      <c r="K10" t="s">
        <v>47</v>
      </c>
      <c r="L10">
        <f>IF(Results!C7="outside",0,IF(Results!C5="Residential",25,208.32))</f>
        <v>25</v>
      </c>
    </row>
    <row r="11" spans="1:14" x14ac:dyDescent="0.25">
      <c r="A11" s="47">
        <f>975*B5</f>
        <v>2232.75</v>
      </c>
      <c r="B11" s="47">
        <f>975*C5</f>
        <v>3354</v>
      </c>
      <c r="C11" s="54" t="e">
        <f>IF($C$15=B5,SUM(A10))</f>
        <v>#N/A</v>
      </c>
      <c r="D11" s="55" t="e">
        <f>IF($C$15=C5,SUM(B10))</f>
        <v>#N/A</v>
      </c>
      <c r="E11" s="14"/>
      <c r="F11" s="1">
        <v>8</v>
      </c>
      <c r="G11" s="38">
        <v>34.6</v>
      </c>
      <c r="H11" s="38">
        <v>51.9</v>
      </c>
      <c r="I11" s="12"/>
    </row>
    <row r="12" spans="1:14" x14ac:dyDescent="0.25">
      <c r="A12" s="49">
        <f>4000*B6</f>
        <v>7600</v>
      </c>
      <c r="B12" s="49">
        <f>4000*C6</f>
        <v>11400</v>
      </c>
      <c r="C12" s="56" t="e">
        <f>IF($C$15=B6,SUM(A10:A11))</f>
        <v>#N/A</v>
      </c>
      <c r="D12" s="57" t="e">
        <f>IF($C$15=C6,SUM(B10:B11))</f>
        <v>#N/A</v>
      </c>
      <c r="E12" s="14"/>
      <c r="F12" s="1">
        <v>10</v>
      </c>
      <c r="G12" s="38">
        <v>91.3</v>
      </c>
      <c r="H12" s="38">
        <v>136.94999999999999</v>
      </c>
      <c r="I12" s="12"/>
    </row>
    <row r="13" spans="1:14" x14ac:dyDescent="0.25">
      <c r="A13" s="13"/>
      <c r="B13" s="14"/>
      <c r="C13" s="52" t="e">
        <f>IF($C$15=B7,SUM(A10:A12))</f>
        <v>#N/A</v>
      </c>
      <c r="D13" s="58" t="e">
        <f>IF($C$15=C7,SUM(B10:B12))</f>
        <v>#N/A</v>
      </c>
      <c r="E13" s="14"/>
      <c r="F13" s="1">
        <v>12</v>
      </c>
      <c r="G13" s="38">
        <v>117.9</v>
      </c>
      <c r="H13" s="38">
        <v>176.85</v>
      </c>
      <c r="I13" s="12"/>
    </row>
    <row r="14" spans="1:14" x14ac:dyDescent="0.25">
      <c r="A14" s="13"/>
      <c r="B14" s="14"/>
      <c r="C14" s="14"/>
      <c r="D14" s="14"/>
      <c r="E14" s="14"/>
      <c r="F14" s="1"/>
      <c r="G14" s="14"/>
      <c r="H14" s="14"/>
      <c r="I14" s="12"/>
      <c r="K14" s="92" t="s">
        <v>52</v>
      </c>
      <c r="M14" s="35" t="e">
        <f>IF($L$19=B5,A10)</f>
        <v>#N/A</v>
      </c>
      <c r="N14" s="35" t="e">
        <f>IF($L$19=C5,B10)</f>
        <v>#N/A</v>
      </c>
    </row>
    <row r="15" spans="1:14" x14ac:dyDescent="0.25">
      <c r="B15" s="34" t="s">
        <v>9</v>
      </c>
      <c r="C15" s="27" t="e">
        <f>VLOOKUP(Results!C3,A4:C7,IF(Results!C7="outside",3,2))</f>
        <v>#N/A</v>
      </c>
      <c r="D15" s="27"/>
      <c r="E15" s="28"/>
      <c r="F15" s="100" t="s">
        <v>10</v>
      </c>
      <c r="G15" s="100"/>
      <c r="H15" s="28">
        <f>VLOOKUP(Results!C6,F4:H13,IF(Results!C7="outside",3,2))</f>
        <v>15.8</v>
      </c>
      <c r="I15" s="12"/>
      <c r="M15" s="13" t="e">
        <f>IF($L$19=B6,SUM(A10:A11))</f>
        <v>#N/A</v>
      </c>
      <c r="N15" s="13" t="e">
        <f>IF($L$19=C6,SUM(B10:B11))</f>
        <v>#N/A</v>
      </c>
    </row>
    <row r="16" spans="1:14" x14ac:dyDescent="0.25">
      <c r="A16" s="13"/>
      <c r="B16" s="37" t="s">
        <v>48</v>
      </c>
      <c r="C16" s="29" t="e">
        <f>IF(C15=B4,A4,IF(C15=C4,A4,IF(C15=B5,A5,IF(C15=C5,A5,IF(C15=B6,A6,IF(C15=C6,A6,IF(C15=B7,A7,IF(C15=C7,A7))))))))</f>
        <v>#N/A</v>
      </c>
      <c r="D16" s="29"/>
      <c r="E16" s="14"/>
      <c r="F16" s="1"/>
      <c r="G16" s="14"/>
      <c r="H16" s="14"/>
      <c r="I16" s="12"/>
      <c r="M16" s="15" t="e">
        <f>IF($L$19=B7,SUM(A10:A12))</f>
        <v>#N/A</v>
      </c>
      <c r="N16" s="15" t="e">
        <f>IF($L$19=C7,SUM(B10:B12))</f>
        <v>#N/A</v>
      </c>
    </row>
    <row r="17" spans="1:14" x14ac:dyDescent="0.25">
      <c r="A17" s="13"/>
      <c r="B17" s="14" t="s">
        <v>11</v>
      </c>
      <c r="C17" s="5">
        <f>Results!C3</f>
        <v>0</v>
      </c>
      <c r="D17" s="29"/>
      <c r="E17" s="14"/>
      <c r="F17" s="1"/>
      <c r="G17" s="14"/>
      <c r="H17" s="14"/>
      <c r="I17" s="12"/>
      <c r="K17" t="s">
        <v>57</v>
      </c>
      <c r="L17">
        <f>VLOOKUP(Results!C11,'FY21 Declining Data'!F4:H13,IF(Results!C7="inside",2,3))</f>
        <v>18.5</v>
      </c>
    </row>
    <row r="18" spans="1:14" x14ac:dyDescent="0.25">
      <c r="A18" s="13"/>
      <c r="B18" s="14" t="s">
        <v>12</v>
      </c>
      <c r="C18" s="30" t="e">
        <f>C17-C16</f>
        <v>#N/A</v>
      </c>
      <c r="D18" s="14"/>
      <c r="E18" s="14"/>
      <c r="F18" s="1"/>
      <c r="G18" s="14"/>
      <c r="H18" s="14"/>
      <c r="I18" s="12"/>
    </row>
    <row r="19" spans="1:14" x14ac:dyDescent="0.25">
      <c r="A19" s="13"/>
      <c r="B19" s="3" t="s">
        <v>13</v>
      </c>
      <c r="C19" s="9" t="e">
        <f>C18/1000*C15</f>
        <v>#N/A</v>
      </c>
      <c r="D19" s="59" t="e">
        <f>SUM(C10:D13)</f>
        <v>#N/A</v>
      </c>
      <c r="E19" s="60" t="e">
        <f>D19+C19</f>
        <v>#N/A</v>
      </c>
      <c r="I19" s="12"/>
      <c r="K19" s="34" t="s">
        <v>9</v>
      </c>
      <c r="L19" s="27" t="e">
        <f>VLOOKUP(Results!C10,A4:C7,IF(Results!T13="outside",3,2))</f>
        <v>#N/A</v>
      </c>
      <c r="M19" s="27"/>
      <c r="N19" s="28"/>
    </row>
    <row r="20" spans="1:14" x14ac:dyDescent="0.25">
      <c r="A20" s="15"/>
      <c r="B20" s="16"/>
      <c r="C20" s="16"/>
      <c r="D20" s="16"/>
      <c r="E20" s="16"/>
      <c r="F20" s="31"/>
      <c r="G20" s="16"/>
      <c r="H20" s="16"/>
      <c r="I20" s="17"/>
      <c r="K20" s="37" t="s">
        <v>48</v>
      </c>
      <c r="L20" s="29" t="e">
        <f>IF(A4=B4,A4,IF(L19=C4,A4,IF(L19=B5,A5,IF(L19=C5,A5,IF(L19=B6,A6,IF(L19=C6,A6,IF(L19=B7,A7,IF(L19=C7,A7))))))))</f>
        <v>#N/A</v>
      </c>
      <c r="M20" s="29"/>
      <c r="N20" s="14"/>
    </row>
    <row r="21" spans="1:14" x14ac:dyDescent="0.25">
      <c r="F21" s="4"/>
      <c r="K21" s="14" t="s">
        <v>11</v>
      </c>
      <c r="L21" s="5">
        <f>Results!C10</f>
        <v>0</v>
      </c>
      <c r="M21" s="29"/>
      <c r="N21" s="14"/>
    </row>
    <row r="22" spans="1:14" ht="15.75" x14ac:dyDescent="0.25">
      <c r="A22" s="35"/>
      <c r="B22" s="101"/>
      <c r="C22" s="102"/>
      <c r="D22" s="102"/>
      <c r="E22" s="102"/>
      <c r="F22" s="102"/>
      <c r="G22" s="102"/>
      <c r="H22" s="102"/>
      <c r="I22" s="103"/>
      <c r="K22" s="14" t="s">
        <v>12</v>
      </c>
      <c r="L22" s="30" t="e">
        <f>L21-L20</f>
        <v>#N/A</v>
      </c>
      <c r="M22" s="14"/>
      <c r="N22" s="14"/>
    </row>
    <row r="23" spans="1:14" x14ac:dyDescent="0.25">
      <c r="A23" s="104" t="s">
        <v>23</v>
      </c>
      <c r="B23" s="105"/>
      <c r="C23" s="105"/>
      <c r="D23" s="14"/>
      <c r="E23" s="104" t="s">
        <v>6</v>
      </c>
      <c r="F23" s="105"/>
      <c r="G23" s="105"/>
      <c r="H23" s="14"/>
      <c r="I23" s="12"/>
      <c r="K23" s="73" t="s">
        <v>13</v>
      </c>
      <c r="L23" s="9" t="e">
        <f>L22/1000*L19</f>
        <v>#N/A</v>
      </c>
      <c r="M23" s="59" t="e">
        <f>SUM(M14:N16)</f>
        <v>#N/A</v>
      </c>
      <c r="N23" s="60" t="e">
        <f>M23+L23</f>
        <v>#N/A</v>
      </c>
    </row>
    <row r="24" spans="1:14" x14ac:dyDescent="0.25">
      <c r="A24" s="23" t="s">
        <v>8</v>
      </c>
      <c r="B24" s="24" t="s">
        <v>0</v>
      </c>
      <c r="C24" s="24" t="s">
        <v>1</v>
      </c>
      <c r="D24" s="14"/>
      <c r="E24" s="23" t="s">
        <v>8</v>
      </c>
      <c r="F24" s="24" t="s">
        <v>0</v>
      </c>
      <c r="G24" s="24" t="s">
        <v>1</v>
      </c>
      <c r="H24" s="14"/>
      <c r="I24" s="12"/>
    </row>
    <row r="25" spans="1:14" x14ac:dyDescent="0.25">
      <c r="A25" s="32">
        <v>0.625</v>
      </c>
      <c r="B25" s="38">
        <v>19.100000000000001</v>
      </c>
      <c r="C25" s="38">
        <v>28.65</v>
      </c>
      <c r="D25" s="14"/>
      <c r="E25" s="32">
        <v>0.625</v>
      </c>
      <c r="F25" s="41">
        <v>84</v>
      </c>
      <c r="G25" s="41">
        <v>126</v>
      </c>
      <c r="H25" s="14"/>
      <c r="I25" s="12"/>
    </row>
    <row r="26" spans="1:14" x14ac:dyDescent="0.25">
      <c r="A26" s="33">
        <v>1</v>
      </c>
      <c r="B26" s="38">
        <v>19.100000000000001</v>
      </c>
      <c r="C26" s="38">
        <v>28.65</v>
      </c>
      <c r="D26" s="14"/>
      <c r="E26" s="33">
        <v>1</v>
      </c>
      <c r="F26" s="41">
        <v>84</v>
      </c>
      <c r="G26" s="41">
        <v>126</v>
      </c>
      <c r="H26" s="14"/>
      <c r="I26" s="12"/>
    </row>
    <row r="27" spans="1:14" x14ac:dyDescent="0.25">
      <c r="A27" s="32">
        <v>1.5</v>
      </c>
      <c r="B27" s="38">
        <v>19.100000000000001</v>
      </c>
      <c r="C27" s="38">
        <v>28.65</v>
      </c>
      <c r="D27" s="14"/>
      <c r="E27" s="32">
        <v>1.5</v>
      </c>
      <c r="F27" s="41">
        <v>84</v>
      </c>
      <c r="G27" s="41">
        <v>126</v>
      </c>
      <c r="H27" s="14"/>
      <c r="I27" s="12"/>
    </row>
    <row r="28" spans="1:14" x14ac:dyDescent="0.25">
      <c r="A28" s="33">
        <v>2</v>
      </c>
      <c r="B28" s="38">
        <v>22.9</v>
      </c>
      <c r="C28" s="38">
        <v>34.35</v>
      </c>
      <c r="D28" s="14"/>
      <c r="E28" s="33">
        <v>2</v>
      </c>
      <c r="F28" s="41">
        <v>84</v>
      </c>
      <c r="G28" s="41">
        <v>126</v>
      </c>
      <c r="H28" s="14"/>
      <c r="I28" s="12"/>
    </row>
    <row r="29" spans="1:14" x14ac:dyDescent="0.25">
      <c r="A29" s="33">
        <v>3</v>
      </c>
      <c r="B29" s="38">
        <v>26.6</v>
      </c>
      <c r="C29" s="38">
        <v>39.9</v>
      </c>
      <c r="D29" s="14"/>
      <c r="E29" s="33">
        <v>3</v>
      </c>
      <c r="F29" s="41">
        <v>84</v>
      </c>
      <c r="G29" s="41">
        <v>126</v>
      </c>
      <c r="H29" s="14"/>
      <c r="I29" s="12"/>
    </row>
    <row r="30" spans="1:14" x14ac:dyDescent="0.25">
      <c r="A30" s="33">
        <v>4</v>
      </c>
      <c r="B30" s="38">
        <v>41.9</v>
      </c>
      <c r="C30" s="38">
        <v>62.85</v>
      </c>
      <c r="D30" s="14"/>
      <c r="E30" s="33">
        <v>4</v>
      </c>
      <c r="F30" s="41">
        <v>84</v>
      </c>
      <c r="G30" s="41">
        <v>126</v>
      </c>
      <c r="H30" s="14"/>
      <c r="I30" s="12"/>
    </row>
    <row r="31" spans="1:14" x14ac:dyDescent="0.25">
      <c r="A31" s="33">
        <v>6</v>
      </c>
      <c r="B31" s="38">
        <v>64.599999999999994</v>
      </c>
      <c r="C31" s="38">
        <v>96.9</v>
      </c>
      <c r="D31" s="14"/>
      <c r="E31" s="33">
        <v>6</v>
      </c>
      <c r="F31" s="41">
        <v>84</v>
      </c>
      <c r="G31" s="41">
        <v>126</v>
      </c>
      <c r="H31" s="14"/>
      <c r="I31" s="12"/>
    </row>
    <row r="32" spans="1:14" x14ac:dyDescent="0.25">
      <c r="A32" s="33">
        <v>8</v>
      </c>
      <c r="B32" s="38">
        <v>87.5</v>
      </c>
      <c r="C32" s="38">
        <v>131.25</v>
      </c>
      <c r="D32" s="14"/>
      <c r="E32" s="33">
        <v>8</v>
      </c>
      <c r="F32" s="41">
        <v>89</v>
      </c>
      <c r="G32" s="41">
        <v>133.5</v>
      </c>
      <c r="H32" s="14"/>
      <c r="I32" s="12"/>
    </row>
    <row r="33" spans="1:9" x14ac:dyDescent="0.25">
      <c r="A33" s="33">
        <v>10</v>
      </c>
      <c r="B33" s="38">
        <v>125.5</v>
      </c>
      <c r="C33" s="38">
        <v>188.25</v>
      </c>
      <c r="D33" s="14"/>
      <c r="E33" s="33">
        <v>10</v>
      </c>
      <c r="F33" s="41">
        <v>128</v>
      </c>
      <c r="G33" s="41">
        <v>192</v>
      </c>
      <c r="H33" s="14"/>
      <c r="I33" s="12"/>
    </row>
    <row r="34" spans="1:9" x14ac:dyDescent="0.25">
      <c r="A34" s="33">
        <v>12</v>
      </c>
      <c r="B34" s="38">
        <v>161</v>
      </c>
      <c r="C34" s="38">
        <v>241.5</v>
      </c>
      <c r="D34" s="14"/>
      <c r="E34" s="33">
        <v>12</v>
      </c>
      <c r="F34" s="41">
        <v>161</v>
      </c>
      <c r="G34" s="41">
        <v>241.5</v>
      </c>
      <c r="H34" s="14"/>
      <c r="I34" s="12"/>
    </row>
    <row r="35" spans="1:9" x14ac:dyDescent="0.25">
      <c r="A35" s="13"/>
      <c r="B35" s="14"/>
      <c r="C35" s="14" t="s">
        <v>50</v>
      </c>
      <c r="D35" s="14">
        <f>8*2.8</f>
        <v>22.4</v>
      </c>
      <c r="E35" s="13"/>
      <c r="F35" s="1"/>
      <c r="G35" s="14"/>
      <c r="H35" s="14"/>
      <c r="I35" s="12"/>
    </row>
    <row r="36" spans="1:9" x14ac:dyDescent="0.25">
      <c r="A36" s="23" t="s">
        <v>24</v>
      </c>
      <c r="B36" s="24" t="s">
        <v>0</v>
      </c>
      <c r="C36" s="24" t="s">
        <v>1</v>
      </c>
      <c r="D36" s="14"/>
      <c r="E36" s="23" t="s">
        <v>24</v>
      </c>
      <c r="F36" s="24" t="s">
        <v>0</v>
      </c>
      <c r="G36" s="24" t="s">
        <v>1</v>
      </c>
      <c r="H36" s="14"/>
      <c r="I36" s="12"/>
    </row>
    <row r="37" spans="1:9" x14ac:dyDescent="0.25">
      <c r="A37" s="25">
        <v>2000</v>
      </c>
      <c r="B37" s="19">
        <v>2.8</v>
      </c>
      <c r="C37" s="19">
        <v>4.21</v>
      </c>
      <c r="D37" s="14"/>
      <c r="E37" s="25">
        <v>2000</v>
      </c>
      <c r="F37" s="19">
        <v>2.04</v>
      </c>
      <c r="G37" s="19">
        <v>3.06</v>
      </c>
      <c r="H37" s="14"/>
      <c r="I37" s="12"/>
    </row>
    <row r="38" spans="1:9" x14ac:dyDescent="0.25">
      <c r="A38" s="25">
        <v>25000</v>
      </c>
      <c r="B38" s="19">
        <v>2.69</v>
      </c>
      <c r="C38" s="19">
        <v>4.03</v>
      </c>
      <c r="D38" s="14"/>
      <c r="E38" s="25">
        <v>1000000</v>
      </c>
      <c r="F38" s="19">
        <v>1.69</v>
      </c>
      <c r="G38" s="19">
        <v>2.5499999999999998</v>
      </c>
      <c r="H38" s="14"/>
      <c r="I38" s="12"/>
    </row>
    <row r="39" spans="1:9" x14ac:dyDescent="0.25">
      <c r="A39" s="25">
        <v>1000000</v>
      </c>
      <c r="B39" s="19">
        <v>1.98</v>
      </c>
      <c r="C39" s="19">
        <v>2.97</v>
      </c>
      <c r="D39" s="14"/>
      <c r="E39" s="25">
        <v>5000000</v>
      </c>
      <c r="F39" s="19">
        <v>1.51</v>
      </c>
      <c r="G39" s="19">
        <v>2.27</v>
      </c>
      <c r="H39" s="14"/>
      <c r="I39" s="12"/>
    </row>
    <row r="40" spans="1:9" x14ac:dyDescent="0.25">
      <c r="A40" s="25">
        <v>5000000</v>
      </c>
      <c r="B40" s="19">
        <v>1.51</v>
      </c>
      <c r="C40" s="19">
        <v>2.27</v>
      </c>
      <c r="D40" s="14"/>
      <c r="E40" s="14"/>
      <c r="F40" s="1"/>
      <c r="I40" s="12"/>
    </row>
    <row r="41" spans="1:9" x14ac:dyDescent="0.25">
      <c r="A41" s="13"/>
      <c r="B41" s="14"/>
      <c r="C41" s="20" t="s">
        <v>0</v>
      </c>
      <c r="D41" s="67" t="s">
        <v>1</v>
      </c>
      <c r="E41" s="14"/>
      <c r="F41" s="1"/>
      <c r="G41" s="20" t="s">
        <v>0</v>
      </c>
      <c r="H41" s="67" t="s">
        <v>1</v>
      </c>
      <c r="I41" s="12"/>
    </row>
    <row r="42" spans="1:9" x14ac:dyDescent="0.25">
      <c r="A42" s="13" t="s">
        <v>18</v>
      </c>
      <c r="B42" s="14">
        <f>VLOOKUP(Results!C6,A25:C34,IF(Results!C7="outside",3,2))</f>
        <v>19.100000000000001</v>
      </c>
      <c r="C42" s="68">
        <f>23*B37</f>
        <v>64.399999999999991</v>
      </c>
      <c r="D42" s="48">
        <f>23*C37</f>
        <v>96.83</v>
      </c>
      <c r="E42" s="14" t="s">
        <v>18</v>
      </c>
      <c r="F42" s="42">
        <f>VLOOKUP(Results!C6,E25:G34,IF(Results!C7="outside",3,2))</f>
        <v>84</v>
      </c>
      <c r="G42" s="68">
        <f>998*F37</f>
        <v>2035.92</v>
      </c>
      <c r="H42" s="68">
        <f>998*G37</f>
        <v>3053.88</v>
      </c>
      <c r="I42" s="12"/>
    </row>
    <row r="43" spans="1:9" x14ac:dyDescent="0.25">
      <c r="A43" s="34" t="s">
        <v>9</v>
      </c>
      <c r="B43" s="27" t="e">
        <f>VLOOKUP(Results!C4,A37:C40,IF(Results!C7="outside",3,2))</f>
        <v>#N/A</v>
      </c>
      <c r="C43" s="68">
        <f>975*B38</f>
        <v>2622.75</v>
      </c>
      <c r="D43" s="48">
        <f>975*C38</f>
        <v>3929.2500000000005</v>
      </c>
      <c r="E43" s="40" t="s">
        <v>9</v>
      </c>
      <c r="F43" s="27" t="e">
        <f>VLOOKUP(Results!C3,E37:G39,IF(Results!C7="outside",3,2))</f>
        <v>#N/A</v>
      </c>
      <c r="G43" s="69">
        <f>4000*F38</f>
        <v>6760</v>
      </c>
      <c r="H43" s="69">
        <f>4000*G38</f>
        <v>10200</v>
      </c>
      <c r="I43" s="12"/>
    </row>
    <row r="44" spans="1:9" x14ac:dyDescent="0.25">
      <c r="A44" s="37" t="s">
        <v>48</v>
      </c>
      <c r="B44" s="29" t="e">
        <f>IF(B43=B37,A37,IF(B43=C37,A37,IF(B43=B38,A38,IF(B43=C38,A38,IF(B43=B39,A39,IF(B43=C39,A39,IF(B43=B40,A40,IF(B43=C40,A40))))))))</f>
        <v>#N/A</v>
      </c>
      <c r="C44" s="69">
        <f>4000*B39</f>
        <v>7920</v>
      </c>
      <c r="D44" s="50">
        <f>4000*C39</f>
        <v>11880</v>
      </c>
      <c r="E44" s="37" t="s">
        <v>48</v>
      </c>
      <c r="F44" s="29" t="e">
        <f>IF(F43=F37,E37,IF(F43=G37,E37,IF(F43=F38,E38,IF(F43=G38,E38,IF(F43=F39,E39,IF(F43=G39,E39))))))</f>
        <v>#N/A</v>
      </c>
      <c r="G44" s="35"/>
      <c r="H44" s="35"/>
      <c r="I44" s="12"/>
    </row>
    <row r="45" spans="1:9" x14ac:dyDescent="0.25">
      <c r="A45" s="13" t="s">
        <v>11</v>
      </c>
      <c r="B45" s="5">
        <f>IF($D$49&gt;10000,10000,$D$54)</f>
        <v>0</v>
      </c>
      <c r="C45" s="35" t="e">
        <f>IF($B$43=B38,C42)</f>
        <v>#N/A</v>
      </c>
      <c r="D45" s="11" t="e">
        <f>IF($B$43=C38,D42)</f>
        <v>#N/A</v>
      </c>
      <c r="E45" s="14" t="s">
        <v>11</v>
      </c>
      <c r="F45" s="5">
        <f>IF($D$49&gt;10000,10000,$D$54)</f>
        <v>0</v>
      </c>
      <c r="G45" s="13" t="e">
        <f>IF($F$43=F38,SUM(G42))</f>
        <v>#N/A</v>
      </c>
      <c r="H45" s="13" t="e">
        <f>IF($F$43=G38,SUM(H42))</f>
        <v>#N/A</v>
      </c>
      <c r="I45" s="12"/>
    </row>
    <row r="46" spans="1:9" x14ac:dyDescent="0.25">
      <c r="A46" s="13" t="s">
        <v>12</v>
      </c>
      <c r="B46" s="30" t="e">
        <f>B45-B44</f>
        <v>#N/A</v>
      </c>
      <c r="C46" s="13" t="e">
        <f>IF($B$43=B39,SUM(C42:C43))</f>
        <v>#N/A</v>
      </c>
      <c r="D46" s="12" t="e">
        <f>IF($B$43=C39,SUM(D42:D43))</f>
        <v>#N/A</v>
      </c>
      <c r="E46" s="14" t="s">
        <v>12</v>
      </c>
      <c r="F46" s="30" t="e">
        <f>F45-F44</f>
        <v>#N/A</v>
      </c>
      <c r="G46" s="15" t="e">
        <f>IF($F$43=F39,SUM(G42:G43))</f>
        <v>#N/A</v>
      </c>
      <c r="H46" s="15" t="e">
        <f>IF($F$43=G39,SUM(H42:H43))</f>
        <v>#N/A</v>
      </c>
      <c r="I46" s="12"/>
    </row>
    <row r="47" spans="1:9" x14ac:dyDescent="0.25">
      <c r="A47" s="2" t="s">
        <v>13</v>
      </c>
      <c r="B47" s="70" t="e">
        <f>IF(B46&lt;0,22.4,B46/1000*B43)</f>
        <v>#N/A</v>
      </c>
      <c r="C47" s="15" t="e">
        <f>IF($B$43=B40,SUM(C42:C44))</f>
        <v>#N/A</v>
      </c>
      <c r="D47" s="17" t="e">
        <f>IF($B$43=C40,SUM(D42:D44))</f>
        <v>#N/A</v>
      </c>
      <c r="E47" s="3" t="s">
        <v>13</v>
      </c>
      <c r="F47" s="9" t="e">
        <f>F46/1000*F43</f>
        <v>#N/A</v>
      </c>
      <c r="G47" s="14" t="e">
        <f>SUM(G45:H46)</f>
        <v>#N/A</v>
      </c>
      <c r="H47" s="14"/>
      <c r="I47" s="12"/>
    </row>
    <row r="48" spans="1:9" x14ac:dyDescent="0.25">
      <c r="A48" s="15"/>
      <c r="B48" s="16"/>
      <c r="C48" s="71" t="e">
        <f>SUM(C45:D47)</f>
        <v>#N/A</v>
      </c>
      <c r="D48" s="72" t="e">
        <f>IF(Results!C5="residential",'FY21 Declining Data'!B47,B47+C48)</f>
        <v>#N/A</v>
      </c>
      <c r="E48" s="16"/>
      <c r="F48" s="31"/>
      <c r="G48" s="72" t="e">
        <f>G47+F47</f>
        <v>#N/A</v>
      </c>
      <c r="H48" s="16"/>
      <c r="I48" s="17"/>
    </row>
    <row r="49" spans="3:4" x14ac:dyDescent="0.25">
      <c r="C49" s="14" t="s">
        <v>4</v>
      </c>
      <c r="D49" s="65">
        <f>IF(Results!$C$5="Residential",Results!$C$4,0)</f>
        <v>0</v>
      </c>
    </row>
    <row r="50" spans="3:4" x14ac:dyDescent="0.25">
      <c r="C50" s="14" t="s">
        <v>7</v>
      </c>
      <c r="D50" s="51">
        <f>IF(Results!$C$5="Commercial",Results!$C$4,0)</f>
        <v>0</v>
      </c>
    </row>
    <row r="51" spans="3:4" x14ac:dyDescent="0.25">
      <c r="C51" s="64" t="s">
        <v>6</v>
      </c>
      <c r="D51" s="51">
        <f>IF(Results!$C$5="Industrial",Results!$C$4,0)</f>
        <v>0</v>
      </c>
    </row>
    <row r="52" spans="3:4" x14ac:dyDescent="0.25">
      <c r="C52" s="64" t="s">
        <v>5</v>
      </c>
      <c r="D52" s="51">
        <f>IF(Results!$C$5="Institutional",Results!$C$4,0)</f>
        <v>0</v>
      </c>
    </row>
    <row r="53" spans="3:4" x14ac:dyDescent="0.25">
      <c r="C53" s="64" t="s">
        <v>45</v>
      </c>
      <c r="D53" s="51">
        <f>IF(Results!$C$5="Multi-Family Residential",Results!$C$4,0)</f>
        <v>0</v>
      </c>
    </row>
    <row r="54" spans="3:4" x14ac:dyDescent="0.25">
      <c r="C54" s="14"/>
      <c r="D54" s="66">
        <f>SUM(D49:D53)</f>
        <v>0</v>
      </c>
    </row>
  </sheetData>
  <sheetProtection algorithmName="SHA-512" hashValue="0Lk3hPcaitxqVpgq1q1I/HYQU6i1/mVLAD/wiv7ZR9lDUgI/O5dLvcavyMgZZ02zh5XrDQ2rstIYa1AU/AZTyg==" saltValue="+VJUiKqEIBKqW62ZL+Roqg==" spinCount="100000" sheet="1" objects="1" scenarios="1"/>
  <mergeCells count="5">
    <mergeCell ref="A2:H2"/>
    <mergeCell ref="F15:G15"/>
    <mergeCell ref="B22:I22"/>
    <mergeCell ref="A23:C23"/>
    <mergeCell ref="E23:G2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78"/>
  <sheetViews>
    <sheetView topLeftCell="A40" workbookViewId="0">
      <selection activeCell="B56" sqref="B56"/>
    </sheetView>
  </sheetViews>
  <sheetFormatPr defaultRowHeight="15" x14ac:dyDescent="0.25"/>
  <cols>
    <col min="1" max="1" width="17.140625" customWidth="1"/>
    <col min="2" max="2" width="13" customWidth="1"/>
    <col min="3" max="4" width="12.5703125" bestFit="1" customWidth="1"/>
    <col min="5" max="5" width="13.28515625" customWidth="1"/>
    <col min="6" max="6" width="10.5703125" bestFit="1" customWidth="1"/>
    <col min="7" max="7" width="12.5703125" bestFit="1" customWidth="1"/>
    <col min="8" max="8" width="13.28515625" bestFit="1" customWidth="1"/>
    <col min="9" max="9" width="17.7109375" bestFit="1" customWidth="1"/>
    <col min="10" max="10" width="15.28515625" bestFit="1" customWidth="1"/>
    <col min="11" max="11" width="11.5703125" bestFit="1" customWidth="1"/>
    <col min="12" max="12" width="10.5703125" bestFit="1" customWidth="1"/>
    <col min="13" max="13" width="12.140625" customWidth="1"/>
    <col min="14" max="14" width="10.5703125" customWidth="1"/>
    <col min="15" max="15" width="11.5703125" bestFit="1" customWidth="1"/>
    <col min="17" max="17" width="17.7109375" bestFit="1" customWidth="1"/>
    <col min="18" max="18" width="15.28515625" bestFit="1" customWidth="1"/>
    <col min="19" max="19" width="11.5703125" bestFit="1" customWidth="1"/>
    <col min="21" max="21" width="12.140625" customWidth="1"/>
    <col min="22" max="22" width="10.5703125" customWidth="1"/>
    <col min="23" max="23" width="11.5703125" bestFit="1" customWidth="1"/>
    <col min="25" max="25" width="17.7109375" bestFit="1" customWidth="1"/>
    <col min="26" max="26" width="15.28515625" bestFit="1" customWidth="1"/>
    <col min="27" max="27" width="11.5703125" bestFit="1" customWidth="1"/>
    <col min="29" max="29" width="12.140625" customWidth="1"/>
    <col min="30" max="30" width="10.5703125" customWidth="1"/>
    <col min="31" max="31" width="11.5703125" bestFit="1" customWidth="1"/>
    <col min="33" max="33" width="17.7109375" bestFit="1" customWidth="1"/>
    <col min="34" max="34" width="15.28515625" bestFit="1" customWidth="1"/>
    <col min="35" max="35" width="11.5703125" bestFit="1" customWidth="1"/>
    <col min="37" max="37" width="12.140625" customWidth="1"/>
    <col min="38" max="38" width="10.5703125" customWidth="1"/>
    <col min="39" max="39" width="11.5703125" bestFit="1" customWidth="1"/>
  </cols>
  <sheetData>
    <row r="1" spans="1:40" ht="15.75" x14ac:dyDescent="0.25">
      <c r="A1" s="106" t="s">
        <v>25</v>
      </c>
      <c r="B1" s="107"/>
      <c r="C1" s="107"/>
      <c r="D1" s="107"/>
      <c r="E1" s="107"/>
      <c r="F1" s="107"/>
      <c r="G1" s="107"/>
      <c r="H1" s="108"/>
      <c r="I1" s="106" t="s">
        <v>27</v>
      </c>
      <c r="J1" s="107"/>
      <c r="K1" s="107"/>
      <c r="L1" s="107"/>
      <c r="M1" s="107"/>
      <c r="N1" s="107"/>
      <c r="O1" s="107"/>
      <c r="P1" s="108"/>
      <c r="Q1" s="106" t="s">
        <v>26</v>
      </c>
      <c r="R1" s="107"/>
      <c r="S1" s="107"/>
      <c r="T1" s="107"/>
      <c r="U1" s="107"/>
      <c r="V1" s="107"/>
      <c r="W1" s="107"/>
      <c r="X1" s="108"/>
      <c r="Y1" s="106" t="s">
        <v>32</v>
      </c>
      <c r="Z1" s="107"/>
      <c r="AA1" s="107"/>
      <c r="AB1" s="107"/>
      <c r="AC1" s="107"/>
      <c r="AD1" s="107"/>
      <c r="AE1" s="107"/>
      <c r="AF1" s="108"/>
      <c r="AG1" s="106" t="s">
        <v>33</v>
      </c>
      <c r="AH1" s="107"/>
      <c r="AI1" s="107"/>
      <c r="AJ1" s="107"/>
      <c r="AK1" s="107"/>
      <c r="AL1" s="107"/>
      <c r="AM1" s="107"/>
      <c r="AN1" s="108"/>
    </row>
    <row r="2" spans="1:40" x14ac:dyDescent="0.25">
      <c r="A2" s="23" t="s">
        <v>24</v>
      </c>
      <c r="B2" s="24" t="s">
        <v>0</v>
      </c>
      <c r="C2" s="24" t="s">
        <v>1</v>
      </c>
      <c r="D2" s="24"/>
      <c r="E2" s="24" t="s">
        <v>8</v>
      </c>
      <c r="F2" s="24" t="s">
        <v>0</v>
      </c>
      <c r="G2" s="24" t="s">
        <v>1</v>
      </c>
      <c r="H2" s="12"/>
      <c r="I2" s="23" t="s">
        <v>24</v>
      </c>
      <c r="J2" s="24" t="s">
        <v>0</v>
      </c>
      <c r="K2" s="24" t="s">
        <v>1</v>
      </c>
      <c r="L2" s="14"/>
      <c r="M2" s="24" t="s">
        <v>8</v>
      </c>
      <c r="N2" s="24" t="s">
        <v>0</v>
      </c>
      <c r="O2" s="24" t="s">
        <v>1</v>
      </c>
      <c r="P2" s="12"/>
      <c r="Q2" s="23" t="s">
        <v>24</v>
      </c>
      <c r="R2" s="24" t="s">
        <v>0</v>
      </c>
      <c r="S2" s="24" t="s">
        <v>1</v>
      </c>
      <c r="T2" s="14"/>
      <c r="U2" s="24" t="s">
        <v>8</v>
      </c>
      <c r="V2" s="24" t="s">
        <v>0</v>
      </c>
      <c r="W2" s="24" t="s">
        <v>1</v>
      </c>
      <c r="X2" s="12"/>
      <c r="Y2" s="23" t="s">
        <v>24</v>
      </c>
      <c r="Z2" s="24" t="s">
        <v>0</v>
      </c>
      <c r="AA2" s="24" t="s">
        <v>1</v>
      </c>
      <c r="AB2" s="14"/>
      <c r="AC2" s="24" t="s">
        <v>8</v>
      </c>
      <c r="AD2" s="24" t="s">
        <v>0</v>
      </c>
      <c r="AE2" s="24" t="s">
        <v>1</v>
      </c>
      <c r="AF2" s="12"/>
      <c r="AG2" s="23" t="s">
        <v>24</v>
      </c>
      <c r="AH2" s="24" t="s">
        <v>0</v>
      </c>
      <c r="AI2" s="24" t="s">
        <v>1</v>
      </c>
      <c r="AJ2" s="14"/>
      <c r="AK2" s="24" t="s">
        <v>8</v>
      </c>
      <c r="AL2" s="24" t="s">
        <v>0</v>
      </c>
      <c r="AM2" s="24" t="s">
        <v>1</v>
      </c>
      <c r="AN2" s="12"/>
    </row>
    <row r="3" spans="1:40" x14ac:dyDescent="0.25">
      <c r="A3" s="25">
        <v>2000</v>
      </c>
      <c r="B3" s="19">
        <v>3.4</v>
      </c>
      <c r="C3" s="19">
        <v>5.0999999999999996</v>
      </c>
      <c r="D3" s="19"/>
      <c r="E3" s="26">
        <v>0.625</v>
      </c>
      <c r="F3" s="38">
        <v>15.8</v>
      </c>
      <c r="G3" s="38">
        <v>23.7</v>
      </c>
      <c r="H3" s="12"/>
      <c r="I3" s="25">
        <v>2000</v>
      </c>
      <c r="J3" s="19">
        <v>3.4</v>
      </c>
      <c r="K3" s="19">
        <v>5.0999999999999996</v>
      </c>
      <c r="L3" s="14"/>
      <c r="M3" s="26">
        <v>0.625</v>
      </c>
      <c r="N3" s="38">
        <v>15.8</v>
      </c>
      <c r="O3" s="38">
        <v>23.7</v>
      </c>
      <c r="P3" s="12"/>
      <c r="Q3" s="25">
        <v>2000</v>
      </c>
      <c r="R3" s="19">
        <v>2.85</v>
      </c>
      <c r="S3" s="19">
        <v>4.28</v>
      </c>
      <c r="T3" s="14"/>
      <c r="U3" s="26">
        <v>0.625</v>
      </c>
      <c r="V3" s="38">
        <v>15.8</v>
      </c>
      <c r="W3" s="38">
        <v>23.7</v>
      </c>
      <c r="X3" s="12"/>
      <c r="Y3" s="25">
        <v>2000</v>
      </c>
      <c r="Z3" s="19">
        <v>2.6</v>
      </c>
      <c r="AA3" s="19">
        <v>3.9</v>
      </c>
      <c r="AB3" s="14"/>
      <c r="AC3" s="26">
        <v>0.625</v>
      </c>
      <c r="AD3" s="38">
        <v>15.8</v>
      </c>
      <c r="AE3" s="38">
        <v>23.7</v>
      </c>
      <c r="AF3" s="12"/>
      <c r="AG3" s="25">
        <v>2000</v>
      </c>
      <c r="AH3" s="19">
        <v>2.25</v>
      </c>
      <c r="AI3" s="19">
        <v>3.38</v>
      </c>
      <c r="AJ3" s="14"/>
      <c r="AK3" s="26">
        <v>0.625</v>
      </c>
      <c r="AL3" s="38">
        <v>15.8</v>
      </c>
      <c r="AM3" s="38">
        <v>23.7</v>
      </c>
      <c r="AN3" s="12"/>
    </row>
    <row r="4" spans="1:40" x14ac:dyDescent="0.25">
      <c r="A4" s="25">
        <v>10000</v>
      </c>
      <c r="B4" s="19">
        <v>3.95</v>
      </c>
      <c r="C4" s="19">
        <v>5.93</v>
      </c>
      <c r="D4" s="19"/>
      <c r="E4" s="1">
        <v>1</v>
      </c>
      <c r="F4" s="38">
        <v>15.8</v>
      </c>
      <c r="G4" s="38">
        <v>23.7</v>
      </c>
      <c r="H4" s="12"/>
      <c r="I4" s="25"/>
      <c r="J4" s="19"/>
      <c r="K4" s="19"/>
      <c r="L4" s="14"/>
      <c r="M4" s="1">
        <v>1</v>
      </c>
      <c r="N4" s="38">
        <v>15.8</v>
      </c>
      <c r="O4" s="38">
        <v>23.7</v>
      </c>
      <c r="P4" s="12"/>
      <c r="Q4" s="25"/>
      <c r="R4" s="19"/>
      <c r="S4" s="19"/>
      <c r="T4" s="14"/>
      <c r="U4" s="1">
        <v>1</v>
      </c>
      <c r="V4" s="38">
        <v>15.8</v>
      </c>
      <c r="W4" s="38">
        <v>23.7</v>
      </c>
      <c r="X4" s="12"/>
      <c r="Y4" s="25"/>
      <c r="Z4" s="19"/>
      <c r="AA4" s="19"/>
      <c r="AB4" s="14"/>
      <c r="AC4" s="1">
        <v>1</v>
      </c>
      <c r="AD4" s="38">
        <v>15.8</v>
      </c>
      <c r="AE4" s="38">
        <v>23.7</v>
      </c>
      <c r="AF4" s="12"/>
      <c r="AG4" s="25"/>
      <c r="AH4" s="19"/>
      <c r="AI4" s="19"/>
      <c r="AJ4" s="14"/>
      <c r="AK4" s="1">
        <v>1</v>
      </c>
      <c r="AL4" s="38">
        <v>15.8</v>
      </c>
      <c r="AM4" s="38">
        <v>23.7</v>
      </c>
      <c r="AN4" s="12"/>
    </row>
    <row r="5" spans="1:40" x14ac:dyDescent="0.25">
      <c r="A5" s="25">
        <v>25000</v>
      </c>
      <c r="B5" s="19">
        <v>4.5</v>
      </c>
      <c r="C5" s="19">
        <v>6.75</v>
      </c>
      <c r="D5" s="19"/>
      <c r="E5" s="26">
        <v>1.5</v>
      </c>
      <c r="F5" s="38">
        <v>15.8</v>
      </c>
      <c r="G5" s="38">
        <v>23.7</v>
      </c>
      <c r="H5" s="12"/>
      <c r="I5" s="25"/>
      <c r="J5" s="19"/>
      <c r="K5" s="19"/>
      <c r="L5" s="14"/>
      <c r="M5" s="26">
        <v>1.5</v>
      </c>
      <c r="N5" s="38">
        <v>15.8</v>
      </c>
      <c r="O5" s="38">
        <v>23.7</v>
      </c>
      <c r="P5" s="12"/>
      <c r="Q5" s="25"/>
      <c r="R5" s="19"/>
      <c r="S5" s="19"/>
      <c r="T5" s="14"/>
      <c r="U5" s="26">
        <v>1.5</v>
      </c>
      <c r="V5" s="38">
        <v>15.8</v>
      </c>
      <c r="W5" s="38">
        <v>23.7</v>
      </c>
      <c r="X5" s="12"/>
      <c r="Y5" s="25"/>
      <c r="Z5" s="19"/>
      <c r="AA5" s="19"/>
      <c r="AB5" s="14"/>
      <c r="AC5" s="26">
        <v>1.5</v>
      </c>
      <c r="AD5" s="38">
        <v>15.8</v>
      </c>
      <c r="AE5" s="38">
        <v>23.7</v>
      </c>
      <c r="AF5" s="12"/>
      <c r="AG5" s="25"/>
      <c r="AH5" s="19"/>
      <c r="AI5" s="19"/>
      <c r="AJ5" s="14"/>
      <c r="AK5" s="26">
        <v>1.5</v>
      </c>
      <c r="AL5" s="38">
        <v>15.8</v>
      </c>
      <c r="AM5" s="38">
        <v>23.7</v>
      </c>
      <c r="AN5" s="12"/>
    </row>
    <row r="6" spans="1:40" x14ac:dyDescent="0.25">
      <c r="A6" s="25">
        <v>50000</v>
      </c>
      <c r="B6" s="19">
        <v>5.2</v>
      </c>
      <c r="C6" s="19">
        <v>7.8</v>
      </c>
      <c r="D6" s="19"/>
      <c r="E6" s="1">
        <v>2</v>
      </c>
      <c r="F6" s="38">
        <v>18.5</v>
      </c>
      <c r="G6" s="38">
        <v>27.75</v>
      </c>
      <c r="H6" s="12"/>
      <c r="I6" s="25"/>
      <c r="J6" s="19"/>
      <c r="K6" s="19"/>
      <c r="L6" s="14"/>
      <c r="M6" s="1">
        <v>2</v>
      </c>
      <c r="N6" s="38">
        <v>18.5</v>
      </c>
      <c r="O6" s="38">
        <v>27.75</v>
      </c>
      <c r="P6" s="12"/>
      <c r="Q6" s="25"/>
      <c r="R6" s="19"/>
      <c r="S6" s="19"/>
      <c r="T6" s="14"/>
      <c r="U6" s="1">
        <v>2</v>
      </c>
      <c r="V6" s="38">
        <v>18.5</v>
      </c>
      <c r="W6" s="38">
        <v>27.75</v>
      </c>
      <c r="X6" s="12"/>
      <c r="Y6" s="25"/>
      <c r="Z6" s="19"/>
      <c r="AA6" s="19"/>
      <c r="AB6" s="14"/>
      <c r="AC6" s="1">
        <v>2</v>
      </c>
      <c r="AD6" s="38">
        <v>18.5</v>
      </c>
      <c r="AE6" s="38">
        <v>27.75</v>
      </c>
      <c r="AF6" s="12"/>
      <c r="AG6" s="25"/>
      <c r="AH6" s="19"/>
      <c r="AI6" s="19"/>
      <c r="AJ6" s="14"/>
      <c r="AK6" s="1">
        <v>2</v>
      </c>
      <c r="AL6" s="38">
        <v>18.5</v>
      </c>
      <c r="AM6" s="38">
        <v>27.75</v>
      </c>
      <c r="AN6" s="12"/>
    </row>
    <row r="7" spans="1:40" x14ac:dyDescent="0.25">
      <c r="A7" s="13"/>
      <c r="B7" s="14"/>
      <c r="C7" s="14"/>
      <c r="D7" s="14"/>
      <c r="E7" s="1">
        <v>3</v>
      </c>
      <c r="F7" s="38">
        <v>21.4</v>
      </c>
      <c r="G7" s="38">
        <v>32.1</v>
      </c>
      <c r="H7" s="12"/>
      <c r="I7" s="13"/>
      <c r="J7" s="14"/>
      <c r="K7" s="14"/>
      <c r="L7" s="14"/>
      <c r="M7" s="1">
        <v>3</v>
      </c>
      <c r="N7" s="38">
        <v>21.4</v>
      </c>
      <c r="O7" s="38">
        <v>32.1</v>
      </c>
      <c r="P7" s="12"/>
      <c r="Q7" s="13"/>
      <c r="R7" s="14"/>
      <c r="S7" s="14"/>
      <c r="T7" s="14"/>
      <c r="U7" s="1">
        <v>3</v>
      </c>
      <c r="V7" s="38">
        <v>21.4</v>
      </c>
      <c r="W7" s="38">
        <v>32.1</v>
      </c>
      <c r="X7" s="12"/>
      <c r="Y7" s="13"/>
      <c r="Z7" s="14"/>
      <c r="AA7" s="14"/>
      <c r="AB7" s="14"/>
      <c r="AC7" s="1">
        <v>3</v>
      </c>
      <c r="AD7" s="38">
        <v>21.4</v>
      </c>
      <c r="AE7" s="38">
        <v>32.1</v>
      </c>
      <c r="AF7" s="12"/>
      <c r="AG7" s="13"/>
      <c r="AH7" s="14"/>
      <c r="AI7" s="14"/>
      <c r="AJ7" s="14"/>
      <c r="AK7" s="1">
        <v>3</v>
      </c>
      <c r="AL7" s="38">
        <v>21.4</v>
      </c>
      <c r="AM7" s="38">
        <v>32.1</v>
      </c>
      <c r="AN7" s="12"/>
    </row>
    <row r="8" spans="1:40" x14ac:dyDescent="0.25">
      <c r="A8" s="10" t="s">
        <v>0</v>
      </c>
      <c r="B8" s="46" t="s">
        <v>1</v>
      </c>
      <c r="D8" s="14"/>
      <c r="E8" s="1">
        <v>4</v>
      </c>
      <c r="F8" s="38">
        <v>32.5</v>
      </c>
      <c r="G8" s="38">
        <v>48.75</v>
      </c>
      <c r="H8" s="12"/>
      <c r="I8" s="13"/>
      <c r="J8" s="14"/>
      <c r="K8" s="14"/>
      <c r="L8" s="14"/>
      <c r="M8" s="1">
        <v>4</v>
      </c>
      <c r="N8" s="38">
        <v>32.5</v>
      </c>
      <c r="O8" s="38">
        <v>48.75</v>
      </c>
      <c r="P8" s="12"/>
      <c r="Q8" s="13"/>
      <c r="R8" s="14"/>
      <c r="S8" s="14"/>
      <c r="T8" s="14"/>
      <c r="U8" s="1">
        <v>4</v>
      </c>
      <c r="V8" s="38">
        <v>32.5</v>
      </c>
      <c r="W8" s="38">
        <v>48.75</v>
      </c>
      <c r="X8" s="12"/>
      <c r="Y8" s="13"/>
      <c r="Z8" s="14"/>
      <c r="AA8" s="14"/>
      <c r="AB8" s="14"/>
      <c r="AC8" s="1">
        <v>4</v>
      </c>
      <c r="AD8" s="38">
        <v>32.5</v>
      </c>
      <c r="AE8" s="38">
        <v>48.75</v>
      </c>
      <c r="AF8" s="12"/>
      <c r="AG8" s="13"/>
      <c r="AH8" s="14"/>
      <c r="AI8" s="14"/>
      <c r="AJ8" s="14"/>
      <c r="AK8" s="1">
        <v>4</v>
      </c>
      <c r="AL8" s="38">
        <v>32.5</v>
      </c>
      <c r="AM8" s="38">
        <v>48.75</v>
      </c>
      <c r="AN8" s="12"/>
    </row>
    <row r="9" spans="1:40" x14ac:dyDescent="0.25">
      <c r="A9" s="47">
        <f>8*B3</f>
        <v>27.2</v>
      </c>
      <c r="B9" s="18">
        <f>8*C3</f>
        <v>40.799999999999997</v>
      </c>
      <c r="E9" s="1">
        <v>6</v>
      </c>
      <c r="F9" s="38">
        <v>48</v>
      </c>
      <c r="G9" s="38">
        <v>72</v>
      </c>
      <c r="H9" s="12"/>
      <c r="I9" s="13"/>
      <c r="J9" s="14"/>
      <c r="K9" s="14"/>
      <c r="L9" s="14"/>
      <c r="M9" s="1">
        <v>6</v>
      </c>
      <c r="N9" s="38">
        <v>48</v>
      </c>
      <c r="O9" s="38">
        <v>72</v>
      </c>
      <c r="P9" s="12"/>
      <c r="Q9" s="13"/>
      <c r="R9" s="14"/>
      <c r="S9" s="14"/>
      <c r="T9" s="14"/>
      <c r="U9" s="1">
        <v>6</v>
      </c>
      <c r="V9" s="38">
        <v>48</v>
      </c>
      <c r="W9" s="38">
        <v>72</v>
      </c>
      <c r="X9" s="12"/>
      <c r="Y9" s="13"/>
      <c r="Z9" s="14"/>
      <c r="AA9" s="14"/>
      <c r="AB9" s="14"/>
      <c r="AC9" s="1">
        <v>6</v>
      </c>
      <c r="AD9" s="38">
        <v>48</v>
      </c>
      <c r="AE9" s="38">
        <v>72</v>
      </c>
      <c r="AF9" s="12"/>
      <c r="AG9" s="13"/>
      <c r="AH9" s="14"/>
      <c r="AI9" s="14"/>
      <c r="AJ9" s="14"/>
      <c r="AK9" s="1">
        <v>6</v>
      </c>
      <c r="AL9" s="38">
        <v>48</v>
      </c>
      <c r="AM9" s="38">
        <v>72</v>
      </c>
      <c r="AN9" s="12"/>
    </row>
    <row r="10" spans="1:40" x14ac:dyDescent="0.25">
      <c r="A10" s="47">
        <f>15*B4</f>
        <v>59.25</v>
      </c>
      <c r="B10" s="18">
        <f>15*C4</f>
        <v>88.949999999999989</v>
      </c>
      <c r="C10" s="35" t="e">
        <f>IF($C$14=B4,SUM(A9))</f>
        <v>#N/A</v>
      </c>
      <c r="D10" s="11" t="e">
        <f>IF($C$14=C4,SUM(B9))</f>
        <v>#N/A</v>
      </c>
      <c r="E10" s="1">
        <v>8</v>
      </c>
      <c r="F10" s="38">
        <v>64.599999999999994</v>
      </c>
      <c r="G10" s="38">
        <v>96.9</v>
      </c>
      <c r="H10" s="12"/>
      <c r="I10" s="13"/>
      <c r="J10" s="14"/>
      <c r="K10" s="14"/>
      <c r="L10" s="14"/>
      <c r="M10" s="1">
        <v>8</v>
      </c>
      <c r="N10" s="38">
        <v>64.599999999999994</v>
      </c>
      <c r="O10" s="38">
        <v>96.9</v>
      </c>
      <c r="P10" s="12"/>
      <c r="Q10" s="13"/>
      <c r="R10" s="14"/>
      <c r="S10" s="14"/>
      <c r="T10" s="14"/>
      <c r="U10" s="1">
        <v>8</v>
      </c>
      <c r="V10" s="38">
        <v>64.599999999999994</v>
      </c>
      <c r="W10" s="38">
        <v>96.9</v>
      </c>
      <c r="X10" s="12"/>
      <c r="Y10" s="13"/>
      <c r="Z10" s="14"/>
      <c r="AA10" s="14"/>
      <c r="AB10" s="14"/>
      <c r="AC10" s="1">
        <v>8</v>
      </c>
      <c r="AD10" s="38">
        <v>64.599999999999994</v>
      </c>
      <c r="AE10" s="38">
        <v>96.9</v>
      </c>
      <c r="AF10" s="12"/>
      <c r="AG10" s="13"/>
      <c r="AH10" s="14"/>
      <c r="AI10" s="14"/>
      <c r="AJ10" s="14"/>
      <c r="AK10" s="1">
        <v>8</v>
      </c>
      <c r="AL10" s="38">
        <v>64.599999999999994</v>
      </c>
      <c r="AM10" s="38">
        <v>96.9</v>
      </c>
      <c r="AN10" s="12"/>
    </row>
    <row r="11" spans="1:40" x14ac:dyDescent="0.25">
      <c r="A11" s="49">
        <f>50*B5</f>
        <v>225</v>
      </c>
      <c r="B11" s="53">
        <f>50*C5</f>
        <v>337.5</v>
      </c>
      <c r="C11" s="13" t="e">
        <f>IF($C$14=B5,SUM(A9:A10))</f>
        <v>#N/A</v>
      </c>
      <c r="D11" s="12" t="e">
        <f>IF($C$14=C5,SUM(B9:B10))</f>
        <v>#N/A</v>
      </c>
      <c r="E11" s="1">
        <v>10</v>
      </c>
      <c r="F11" s="38">
        <v>91.3</v>
      </c>
      <c r="G11" s="38">
        <v>136.94999999999999</v>
      </c>
      <c r="H11" s="12"/>
      <c r="I11" s="13"/>
      <c r="J11" s="14"/>
      <c r="K11" s="14"/>
      <c r="L11" s="14"/>
      <c r="M11" s="1">
        <v>10</v>
      </c>
      <c r="N11" s="38">
        <v>91.3</v>
      </c>
      <c r="O11" s="38">
        <v>136.94999999999999</v>
      </c>
      <c r="P11" s="12"/>
      <c r="Q11" s="13"/>
      <c r="R11" s="14"/>
      <c r="S11" s="14"/>
      <c r="T11" s="14"/>
      <c r="U11" s="1">
        <v>10</v>
      </c>
      <c r="V11" s="38">
        <v>91.3</v>
      </c>
      <c r="W11" s="38">
        <v>136.94999999999999</v>
      </c>
      <c r="X11" s="12"/>
      <c r="Y11" s="13"/>
      <c r="Z11" s="14"/>
      <c r="AA11" s="14"/>
      <c r="AB11" s="14"/>
      <c r="AC11" s="1">
        <v>10</v>
      </c>
      <c r="AD11" s="38">
        <v>91.3</v>
      </c>
      <c r="AE11" s="38">
        <v>136.94999999999999</v>
      </c>
      <c r="AF11" s="12"/>
      <c r="AG11" s="13"/>
      <c r="AH11" s="14"/>
      <c r="AI11" s="14"/>
      <c r="AJ11" s="14"/>
      <c r="AK11" s="1">
        <v>10</v>
      </c>
      <c r="AL11" s="38">
        <v>91.3</v>
      </c>
      <c r="AM11" s="38">
        <v>136.94999999999999</v>
      </c>
      <c r="AN11" s="12"/>
    </row>
    <row r="12" spans="1:40" x14ac:dyDescent="0.25">
      <c r="A12" s="13"/>
      <c r="B12" s="14"/>
      <c r="C12" s="15" t="e">
        <f>IF($C$14=B6,SUM(A9:A11))</f>
        <v>#N/A</v>
      </c>
      <c r="D12" s="17" t="e">
        <f>IF($C$14=C6,SUM(B9:B11))</f>
        <v>#N/A</v>
      </c>
      <c r="E12" s="1">
        <v>12</v>
      </c>
      <c r="F12" s="38">
        <v>117.9</v>
      </c>
      <c r="G12" s="38">
        <v>176.85</v>
      </c>
      <c r="H12" s="12"/>
      <c r="I12" s="13"/>
      <c r="J12" s="14"/>
      <c r="K12" s="14"/>
      <c r="L12" s="14"/>
      <c r="M12" s="1">
        <v>12</v>
      </c>
      <c r="N12" s="38">
        <v>117.9</v>
      </c>
      <c r="O12" s="38">
        <v>176.85</v>
      </c>
      <c r="P12" s="12"/>
      <c r="Q12" s="13"/>
      <c r="R12" s="14"/>
      <c r="S12" s="14"/>
      <c r="T12" s="14"/>
      <c r="U12" s="1">
        <v>12</v>
      </c>
      <c r="V12" s="38">
        <v>117.9</v>
      </c>
      <c r="W12" s="38">
        <v>176.85</v>
      </c>
      <c r="X12" s="12"/>
      <c r="Y12" s="13"/>
      <c r="Z12" s="14"/>
      <c r="AA12" s="14"/>
      <c r="AB12" s="14"/>
      <c r="AC12" s="1">
        <v>12</v>
      </c>
      <c r="AD12" s="38">
        <v>117.9</v>
      </c>
      <c r="AE12" s="38">
        <v>176.85</v>
      </c>
      <c r="AF12" s="12"/>
      <c r="AG12" s="13"/>
      <c r="AH12" s="14"/>
      <c r="AI12" s="14"/>
      <c r="AJ12" s="14"/>
      <c r="AK12" s="1">
        <v>12</v>
      </c>
      <c r="AL12" s="38">
        <v>117.9</v>
      </c>
      <c r="AM12" s="38">
        <v>176.85</v>
      </c>
      <c r="AN12" s="12"/>
    </row>
    <row r="13" spans="1:40" x14ac:dyDescent="0.25">
      <c r="A13" s="13"/>
      <c r="B13" s="14"/>
      <c r="C13" s="14"/>
      <c r="D13" s="14"/>
      <c r="E13" s="1"/>
      <c r="F13" s="14"/>
      <c r="G13" s="14"/>
      <c r="H13" s="12"/>
      <c r="I13" s="13"/>
      <c r="J13" s="14"/>
      <c r="K13" s="14"/>
      <c r="L13" s="14"/>
      <c r="M13" s="1"/>
      <c r="N13" s="14"/>
      <c r="O13" s="14"/>
      <c r="P13" s="12"/>
      <c r="Q13" s="13"/>
      <c r="R13" s="14"/>
      <c r="S13" s="14"/>
      <c r="T13" s="14"/>
      <c r="U13" s="1"/>
      <c r="V13" s="14"/>
      <c r="W13" s="14"/>
      <c r="X13" s="12"/>
      <c r="Y13" s="13"/>
      <c r="Z13" s="14"/>
      <c r="AA13" s="14"/>
      <c r="AB13" s="14"/>
      <c r="AC13" s="1"/>
      <c r="AD13" s="14"/>
      <c r="AE13" s="14"/>
      <c r="AF13" s="12"/>
      <c r="AG13" s="13"/>
      <c r="AH13" s="14"/>
      <c r="AI13" s="14"/>
      <c r="AJ13" s="14"/>
      <c r="AK13" s="1"/>
      <c r="AL13" s="14"/>
      <c r="AM13" s="14"/>
      <c r="AN13" s="12"/>
    </row>
    <row r="14" spans="1:40" x14ac:dyDescent="0.25">
      <c r="A14" s="109" t="s">
        <v>9</v>
      </c>
      <c r="B14" s="100"/>
      <c r="C14" s="27" t="e">
        <f>VLOOKUP(Results!G3,A3:C6,IF(Results!G7="outside",3,2))</f>
        <v>#N/A</v>
      </c>
      <c r="D14" s="27"/>
      <c r="E14" s="100" t="s">
        <v>10</v>
      </c>
      <c r="F14" s="100"/>
      <c r="G14" s="28">
        <f>VLOOKUP(Results!G6,E3:G12,IF(Results!G6="outside",3,2))</f>
        <v>15.8</v>
      </c>
      <c r="H14" s="12"/>
      <c r="I14" s="109" t="s">
        <v>9</v>
      </c>
      <c r="J14" s="100"/>
      <c r="K14" s="27" t="e">
        <f>VLOOKUP(Results!$G$3,I3:K3,IF(Results!$G$7="outside",3,2))</f>
        <v>#N/A</v>
      </c>
      <c r="L14" s="28"/>
      <c r="M14" s="100" t="s">
        <v>10</v>
      </c>
      <c r="N14" s="100"/>
      <c r="O14" s="28">
        <f>VLOOKUP(Results!$G$6,M3:O12,IF(Results!$G$7="outside",3,2))</f>
        <v>15.8</v>
      </c>
      <c r="P14" s="12"/>
      <c r="Q14" s="109" t="s">
        <v>9</v>
      </c>
      <c r="R14" s="100"/>
      <c r="S14" s="27" t="e">
        <f>VLOOKUP(Results!$G$3,Q3:S3,IF(Results!$G$7="outside",3,2))</f>
        <v>#N/A</v>
      </c>
      <c r="T14" s="28"/>
      <c r="U14" s="100" t="s">
        <v>10</v>
      </c>
      <c r="V14" s="100"/>
      <c r="W14" s="28">
        <f>VLOOKUP(Results!$G$6,U3:W12,IF(Results!$G$7="outside",3,2))</f>
        <v>15.8</v>
      </c>
      <c r="X14" s="12"/>
      <c r="Y14" s="109" t="s">
        <v>9</v>
      </c>
      <c r="Z14" s="100"/>
      <c r="AA14" s="27" t="e">
        <f>VLOOKUP(Results!$G$3,Y3:AA3,IF(Results!$G$7="outside",3,2))</f>
        <v>#N/A</v>
      </c>
      <c r="AB14" s="28"/>
      <c r="AC14" s="100" t="s">
        <v>10</v>
      </c>
      <c r="AD14" s="100"/>
      <c r="AE14" s="28">
        <f>VLOOKUP(Results!$G$6,AC3:AE12,IF(Results!$G$7="outside",3,2))</f>
        <v>15.8</v>
      </c>
      <c r="AF14" s="12"/>
      <c r="AG14" s="109" t="s">
        <v>9</v>
      </c>
      <c r="AH14" s="100"/>
      <c r="AI14" s="27" t="e">
        <f>VLOOKUP(Results!$G$3,AG3:AI3,IF(Results!$G$7="outside",3,2))</f>
        <v>#N/A</v>
      </c>
      <c r="AJ14" s="28"/>
      <c r="AK14" s="100" t="s">
        <v>10</v>
      </c>
      <c r="AL14" s="100"/>
      <c r="AM14" s="28">
        <f>VLOOKUP(Results!$G$6,AK3:AM12,IF(Results!$G$7="outside",3,2))</f>
        <v>15.8</v>
      </c>
      <c r="AN14" s="12"/>
    </row>
    <row r="15" spans="1:40" x14ac:dyDescent="0.25">
      <c r="A15" s="13"/>
      <c r="B15" s="37" t="s">
        <v>48</v>
      </c>
      <c r="C15" s="29" t="e">
        <f>IF(C14=B3,A3,IF(C14=C3,A3,IF(C14=B4,A4,IF(C14=C4,A4,IF(C14=B5,A5,IF(C14=C5,A5,IF(C14=B6,A6,IF(C14=C6,A6))))))))</f>
        <v>#N/A</v>
      </c>
      <c r="D15" s="29"/>
      <c r="E15" s="1"/>
      <c r="F15" s="14"/>
      <c r="G15" s="14"/>
      <c r="H15" s="12"/>
      <c r="I15" s="39"/>
      <c r="J15" s="37" t="s">
        <v>48</v>
      </c>
      <c r="K15" s="29">
        <v>2000</v>
      </c>
      <c r="L15" s="14"/>
      <c r="M15" s="1"/>
      <c r="N15" s="14"/>
      <c r="O15" s="14"/>
      <c r="P15" s="12"/>
      <c r="Q15" s="39"/>
      <c r="R15" s="37" t="s">
        <v>48</v>
      </c>
      <c r="S15" s="29">
        <v>2000</v>
      </c>
      <c r="T15" s="14"/>
      <c r="U15" s="1"/>
      <c r="V15" s="14"/>
      <c r="W15" s="14"/>
      <c r="X15" s="12"/>
      <c r="Y15" s="39"/>
      <c r="Z15" s="37" t="s">
        <v>48</v>
      </c>
      <c r="AA15" s="29">
        <v>2000</v>
      </c>
      <c r="AB15" s="14"/>
      <c r="AC15" s="1"/>
      <c r="AD15" s="14"/>
      <c r="AE15" s="14"/>
      <c r="AF15" s="12"/>
      <c r="AG15" s="39"/>
      <c r="AH15" s="37" t="s">
        <v>48</v>
      </c>
      <c r="AI15" s="29">
        <v>2000</v>
      </c>
      <c r="AJ15" s="14"/>
      <c r="AK15" s="1"/>
      <c r="AL15" s="14"/>
      <c r="AM15" s="14"/>
      <c r="AN15" s="12"/>
    </row>
    <row r="16" spans="1:40" x14ac:dyDescent="0.25">
      <c r="A16" s="13"/>
      <c r="B16" s="14" t="s">
        <v>11</v>
      </c>
      <c r="C16" s="5">
        <f>Results!G3</f>
        <v>0</v>
      </c>
      <c r="D16" s="29"/>
      <c r="E16" s="1"/>
      <c r="F16" s="14"/>
      <c r="G16" s="14"/>
      <c r="H16" s="12"/>
      <c r="I16" s="39"/>
      <c r="J16" s="37" t="s">
        <v>11</v>
      </c>
      <c r="K16" s="5">
        <f>Results!$G$3</f>
        <v>0</v>
      </c>
      <c r="L16" s="14"/>
      <c r="M16" s="1"/>
      <c r="N16" s="14"/>
      <c r="O16" s="14"/>
      <c r="P16" s="12"/>
      <c r="Q16" s="39"/>
      <c r="R16" s="37" t="s">
        <v>11</v>
      </c>
      <c r="S16" s="5">
        <f>Results!$G$3</f>
        <v>0</v>
      </c>
      <c r="T16" s="14"/>
      <c r="U16" s="1"/>
      <c r="V16" s="14"/>
      <c r="W16" s="14"/>
      <c r="X16" s="12"/>
      <c r="Y16" s="39"/>
      <c r="Z16" s="37" t="s">
        <v>11</v>
      </c>
      <c r="AA16" s="5">
        <f>Results!$G$3</f>
        <v>0</v>
      </c>
      <c r="AB16" s="14"/>
      <c r="AC16" s="1"/>
      <c r="AD16" s="14"/>
      <c r="AE16" s="14"/>
      <c r="AF16" s="12"/>
      <c r="AG16" s="39"/>
      <c r="AH16" s="37" t="s">
        <v>11</v>
      </c>
      <c r="AI16" s="5">
        <f>Results!$G$3</f>
        <v>0</v>
      </c>
      <c r="AJ16" s="14"/>
      <c r="AK16" s="1"/>
      <c r="AL16" s="14"/>
      <c r="AM16" s="14"/>
      <c r="AN16" s="12"/>
    </row>
    <row r="17" spans="1:40" x14ac:dyDescent="0.25">
      <c r="A17" s="13"/>
      <c r="B17" s="14" t="s">
        <v>12</v>
      </c>
      <c r="C17" s="30" t="e">
        <f>C16-C15</f>
        <v>#N/A</v>
      </c>
      <c r="D17" s="14"/>
      <c r="E17" s="1"/>
      <c r="F17" s="14"/>
      <c r="G17" s="14"/>
      <c r="H17" s="12"/>
      <c r="I17" s="39"/>
      <c r="J17" s="37" t="s">
        <v>12</v>
      </c>
      <c r="K17" s="30">
        <f>K16-K15</f>
        <v>-2000</v>
      </c>
      <c r="L17" s="14"/>
      <c r="M17" s="1"/>
      <c r="N17" s="14"/>
      <c r="O17" s="14"/>
      <c r="P17" s="12"/>
      <c r="Q17" s="39"/>
      <c r="R17" s="37" t="s">
        <v>12</v>
      </c>
      <c r="S17" s="30">
        <f>S16-S15</f>
        <v>-2000</v>
      </c>
      <c r="T17" s="14"/>
      <c r="U17" s="1"/>
      <c r="V17" s="14"/>
      <c r="W17" s="14"/>
      <c r="X17" s="12"/>
      <c r="Y17" s="39"/>
      <c r="Z17" s="37" t="s">
        <v>12</v>
      </c>
      <c r="AA17" s="30">
        <f>AA16-AA15</f>
        <v>-2000</v>
      </c>
      <c r="AB17" s="14"/>
      <c r="AC17" s="1"/>
      <c r="AD17" s="14"/>
      <c r="AE17" s="14"/>
      <c r="AF17" s="12"/>
      <c r="AG17" s="39"/>
      <c r="AH17" s="37" t="s">
        <v>12</v>
      </c>
      <c r="AI17" s="30">
        <f>AI16-AI15</f>
        <v>-2000</v>
      </c>
      <c r="AJ17" s="14"/>
      <c r="AK17" s="1"/>
      <c r="AL17" s="14"/>
      <c r="AM17" s="14"/>
      <c r="AN17" s="12"/>
    </row>
    <row r="18" spans="1:40" x14ac:dyDescent="0.25">
      <c r="A18" s="13"/>
      <c r="B18" s="3" t="s">
        <v>13</v>
      </c>
      <c r="C18" s="9" t="e">
        <f>C17/1000*C14</f>
        <v>#N/A</v>
      </c>
      <c r="D18" s="14" t="e">
        <f>SUM(C10:D12)</f>
        <v>#N/A</v>
      </c>
      <c r="E18" s="6" t="s">
        <v>14</v>
      </c>
      <c r="F18" s="7"/>
      <c r="G18" s="8" t="e">
        <f>G14+C18</f>
        <v>#N/A</v>
      </c>
      <c r="H18" s="12"/>
      <c r="I18" s="39"/>
      <c r="J18" s="3" t="s">
        <v>13</v>
      </c>
      <c r="K18" s="9" t="e">
        <f>K17/1000*K14</f>
        <v>#N/A</v>
      </c>
      <c r="L18" s="14"/>
      <c r="M18" s="6" t="s">
        <v>14</v>
      </c>
      <c r="N18" s="7"/>
      <c r="O18" s="8" t="e">
        <f>O14+K18</f>
        <v>#N/A</v>
      </c>
      <c r="P18" s="12"/>
      <c r="Q18" s="39"/>
      <c r="R18" s="3" t="s">
        <v>13</v>
      </c>
      <c r="S18" s="9" t="e">
        <f>S17/1000*S14</f>
        <v>#N/A</v>
      </c>
      <c r="T18" s="14"/>
      <c r="U18" s="6" t="s">
        <v>14</v>
      </c>
      <c r="V18" s="7"/>
      <c r="W18" s="8" t="e">
        <f>W14+S18</f>
        <v>#N/A</v>
      </c>
      <c r="X18" s="12"/>
      <c r="Y18" s="39"/>
      <c r="Z18" s="3" t="s">
        <v>13</v>
      </c>
      <c r="AA18" s="9" t="e">
        <f>AA17/1000*AA14</f>
        <v>#N/A</v>
      </c>
      <c r="AB18" s="14"/>
      <c r="AC18" s="6" t="s">
        <v>14</v>
      </c>
      <c r="AD18" s="7"/>
      <c r="AE18" s="8" t="e">
        <f>AE14+AA18</f>
        <v>#N/A</v>
      </c>
      <c r="AF18" s="12"/>
      <c r="AG18" s="39"/>
      <c r="AH18" s="3" t="s">
        <v>13</v>
      </c>
      <c r="AI18" s="9" t="e">
        <f>AI17/1000*AI14</f>
        <v>#N/A</v>
      </c>
      <c r="AJ18" s="14"/>
      <c r="AK18" s="6" t="s">
        <v>14</v>
      </c>
      <c r="AL18" s="7"/>
      <c r="AM18" s="8" t="e">
        <f>AM14+AI18</f>
        <v>#N/A</v>
      </c>
      <c r="AN18" s="12"/>
    </row>
    <row r="19" spans="1:40" x14ac:dyDescent="0.25">
      <c r="A19" s="13"/>
      <c r="B19" s="14"/>
      <c r="C19" s="14"/>
      <c r="D19" s="45" t="e">
        <f>C18+D18</f>
        <v>#N/A</v>
      </c>
      <c r="E19" s="14"/>
      <c r="F19" s="14"/>
      <c r="G19" s="14"/>
      <c r="H19" s="12"/>
      <c r="I19" s="13"/>
      <c r="J19" s="14"/>
      <c r="K19" s="14"/>
      <c r="L19" s="14"/>
      <c r="M19" s="14"/>
      <c r="N19" s="14"/>
      <c r="O19" s="14"/>
      <c r="P19" s="12"/>
      <c r="Q19" s="13"/>
      <c r="R19" s="14"/>
      <c r="S19" s="14"/>
      <c r="T19" s="14"/>
      <c r="U19" s="14"/>
      <c r="V19" s="14"/>
      <c r="W19" s="14"/>
      <c r="X19" s="12"/>
      <c r="Y19" s="13"/>
      <c r="Z19" s="14"/>
      <c r="AA19" s="14"/>
      <c r="AB19" s="14"/>
      <c r="AC19" s="14"/>
      <c r="AD19" s="14"/>
      <c r="AE19" s="14"/>
      <c r="AF19" s="12"/>
      <c r="AG19" s="13"/>
      <c r="AH19" s="14"/>
      <c r="AI19" s="14"/>
      <c r="AJ19" s="14"/>
      <c r="AK19" s="14"/>
      <c r="AL19" s="14"/>
      <c r="AM19" s="14"/>
      <c r="AN19" s="12"/>
    </row>
    <row r="20" spans="1:40" x14ac:dyDescent="0.25">
      <c r="A20" s="15"/>
      <c r="B20" s="16"/>
      <c r="C20" s="16"/>
      <c r="D20" s="16"/>
      <c r="E20" s="16"/>
      <c r="F20" s="16"/>
      <c r="G20" s="16"/>
      <c r="H20" s="17"/>
      <c r="I20" s="15"/>
      <c r="J20" s="16"/>
      <c r="K20" s="16"/>
      <c r="L20" s="16"/>
      <c r="M20" s="16"/>
      <c r="N20" s="16"/>
      <c r="O20" s="16"/>
      <c r="P20" s="17"/>
      <c r="Q20" s="15"/>
      <c r="R20" s="16"/>
      <c r="S20" s="16"/>
      <c r="T20" s="16"/>
      <c r="U20" s="16"/>
      <c r="V20" s="16"/>
      <c r="W20" s="16"/>
      <c r="X20" s="17"/>
      <c r="Y20" s="15"/>
      <c r="Z20" s="16"/>
      <c r="AA20" s="16"/>
      <c r="AB20" s="16"/>
      <c r="AC20" s="16"/>
      <c r="AD20" s="16"/>
      <c r="AE20" s="16"/>
      <c r="AF20" s="17"/>
      <c r="AG20" s="15"/>
      <c r="AH20" s="16"/>
      <c r="AI20" s="16"/>
      <c r="AJ20" s="16"/>
      <c r="AK20" s="16"/>
      <c r="AL20" s="16"/>
      <c r="AM20" s="16"/>
      <c r="AN20" s="17"/>
    </row>
    <row r="21" spans="1:40" x14ac:dyDescent="0.25">
      <c r="A21" s="114" t="s">
        <v>28</v>
      </c>
      <c r="B21" s="115"/>
      <c r="C21" s="115"/>
      <c r="D21" s="12"/>
      <c r="I21" s="111" t="s">
        <v>29</v>
      </c>
      <c r="J21" s="112"/>
      <c r="K21" s="112"/>
      <c r="L21" s="113"/>
      <c r="Q21" s="111" t="s">
        <v>30</v>
      </c>
      <c r="R21" s="112"/>
      <c r="S21" s="112"/>
      <c r="T21" s="113"/>
      <c r="Y21" s="111" t="s">
        <v>31</v>
      </c>
      <c r="Z21" s="112"/>
      <c r="AA21" s="112"/>
      <c r="AB21" s="113"/>
      <c r="AG21" s="111" t="s">
        <v>34</v>
      </c>
      <c r="AH21" s="112"/>
      <c r="AI21" s="112"/>
      <c r="AJ21" s="113"/>
    </row>
    <row r="22" spans="1:40" x14ac:dyDescent="0.25">
      <c r="A22" s="23" t="s">
        <v>8</v>
      </c>
      <c r="B22" s="24" t="s">
        <v>0</v>
      </c>
      <c r="C22" s="24" t="s">
        <v>1</v>
      </c>
      <c r="D22" s="12"/>
      <c r="I22" s="23" t="s">
        <v>8</v>
      </c>
      <c r="J22" s="24" t="s">
        <v>0</v>
      </c>
      <c r="K22" s="24" t="s">
        <v>1</v>
      </c>
      <c r="L22" s="12"/>
      <c r="Q22" s="23" t="s">
        <v>8</v>
      </c>
      <c r="R22" s="24" t="s">
        <v>0</v>
      </c>
      <c r="S22" s="24" t="s">
        <v>1</v>
      </c>
      <c r="T22" s="12"/>
      <c r="Y22" s="23" t="s">
        <v>8</v>
      </c>
      <c r="Z22" s="24" t="s">
        <v>0</v>
      </c>
      <c r="AA22" s="24" t="s">
        <v>1</v>
      </c>
      <c r="AB22" s="12"/>
      <c r="AG22" s="23" t="s">
        <v>8</v>
      </c>
      <c r="AH22" s="24" t="s">
        <v>0</v>
      </c>
      <c r="AI22" s="24" t="s">
        <v>1</v>
      </c>
      <c r="AJ22" s="12"/>
    </row>
    <row r="23" spans="1:40" x14ac:dyDescent="0.25">
      <c r="A23" s="32">
        <v>0.625</v>
      </c>
      <c r="B23" s="38">
        <v>19.100000000000001</v>
      </c>
      <c r="C23" s="38">
        <v>28.65</v>
      </c>
      <c r="D23" s="12"/>
      <c r="I23" s="32">
        <v>0.625</v>
      </c>
      <c r="J23" s="38">
        <v>19.100000000000001</v>
      </c>
      <c r="K23" s="38">
        <v>28.65</v>
      </c>
      <c r="L23" s="12"/>
      <c r="Q23" s="32">
        <v>0.625</v>
      </c>
      <c r="R23" s="38">
        <v>19.100000000000001</v>
      </c>
      <c r="S23" s="38">
        <v>28.65</v>
      </c>
      <c r="T23" s="12"/>
      <c r="Y23" s="32">
        <v>0.625</v>
      </c>
      <c r="Z23" s="38">
        <v>19.100000000000001</v>
      </c>
      <c r="AA23" s="38">
        <v>28.65</v>
      </c>
      <c r="AB23" s="12"/>
      <c r="AG23" s="32">
        <v>0.625</v>
      </c>
      <c r="AH23" s="38">
        <v>84</v>
      </c>
      <c r="AI23" s="38">
        <v>126</v>
      </c>
      <c r="AJ23" s="12"/>
    </row>
    <row r="24" spans="1:40" x14ac:dyDescent="0.25">
      <c r="A24" s="33">
        <v>1</v>
      </c>
      <c r="B24" s="38">
        <v>19.100000000000001</v>
      </c>
      <c r="C24" s="38">
        <v>28.65</v>
      </c>
      <c r="D24" s="12"/>
      <c r="I24" s="33">
        <v>1</v>
      </c>
      <c r="J24" s="38">
        <v>19.100000000000001</v>
      </c>
      <c r="K24" s="38">
        <v>28.65</v>
      </c>
      <c r="L24" s="12"/>
      <c r="Q24" s="33">
        <v>1</v>
      </c>
      <c r="R24" s="38">
        <v>19.100000000000001</v>
      </c>
      <c r="S24" s="38">
        <v>28.65</v>
      </c>
      <c r="T24" s="12"/>
      <c r="Y24" s="33">
        <v>1</v>
      </c>
      <c r="Z24" s="38">
        <v>19.100000000000001</v>
      </c>
      <c r="AA24" s="38">
        <v>28.65</v>
      </c>
      <c r="AB24" s="12"/>
      <c r="AG24" s="33">
        <v>1</v>
      </c>
      <c r="AH24" s="38">
        <v>84</v>
      </c>
      <c r="AI24" s="38">
        <v>126</v>
      </c>
      <c r="AJ24" s="12"/>
    </row>
    <row r="25" spans="1:40" x14ac:dyDescent="0.25">
      <c r="A25" s="32">
        <v>1.5</v>
      </c>
      <c r="B25" s="38">
        <v>19.100000000000001</v>
      </c>
      <c r="C25" s="38">
        <v>28.65</v>
      </c>
      <c r="D25" s="12"/>
      <c r="I25" s="32">
        <v>1.5</v>
      </c>
      <c r="J25" s="38">
        <v>19.100000000000001</v>
      </c>
      <c r="K25" s="38">
        <v>28.65</v>
      </c>
      <c r="L25" s="12"/>
      <c r="Q25" s="32">
        <v>1.5</v>
      </c>
      <c r="R25" s="38">
        <v>19.100000000000001</v>
      </c>
      <c r="S25" s="38">
        <v>28.65</v>
      </c>
      <c r="T25" s="12"/>
      <c r="Y25" s="32">
        <v>1.5</v>
      </c>
      <c r="Z25" s="38">
        <v>19.100000000000001</v>
      </c>
      <c r="AA25" s="38">
        <v>28.65</v>
      </c>
      <c r="AB25" s="12"/>
      <c r="AG25" s="32">
        <v>1.5</v>
      </c>
      <c r="AH25" s="38">
        <v>84</v>
      </c>
      <c r="AI25" s="38">
        <v>126</v>
      </c>
      <c r="AJ25" s="12"/>
    </row>
    <row r="26" spans="1:40" x14ac:dyDescent="0.25">
      <c r="A26" s="33">
        <v>2</v>
      </c>
      <c r="B26" s="38">
        <v>22.9</v>
      </c>
      <c r="C26" s="38">
        <v>34.35</v>
      </c>
      <c r="D26" s="12"/>
      <c r="I26" s="33">
        <v>2</v>
      </c>
      <c r="J26" s="38">
        <v>22.9</v>
      </c>
      <c r="K26" s="38">
        <v>34.35</v>
      </c>
      <c r="L26" s="12"/>
      <c r="Q26" s="33">
        <v>2</v>
      </c>
      <c r="R26" s="38">
        <v>22.9</v>
      </c>
      <c r="S26" s="38">
        <v>34.35</v>
      </c>
      <c r="T26" s="12"/>
      <c r="Y26" s="33">
        <v>2</v>
      </c>
      <c r="Z26" s="38">
        <v>22.9</v>
      </c>
      <c r="AA26" s="38">
        <v>34.35</v>
      </c>
      <c r="AB26" s="12"/>
      <c r="AG26" s="33">
        <v>2</v>
      </c>
      <c r="AH26" s="38">
        <v>84</v>
      </c>
      <c r="AI26" s="38">
        <v>126</v>
      </c>
      <c r="AJ26" s="12"/>
    </row>
    <row r="27" spans="1:40" x14ac:dyDescent="0.25">
      <c r="A27" s="33">
        <v>3</v>
      </c>
      <c r="B27" s="38">
        <v>26.6</v>
      </c>
      <c r="C27" s="38">
        <v>39.9</v>
      </c>
      <c r="D27" s="12"/>
      <c r="E27" s="14"/>
      <c r="F27" s="65"/>
      <c r="I27" s="33">
        <v>3</v>
      </c>
      <c r="J27" s="38">
        <v>26.6</v>
      </c>
      <c r="K27" s="38">
        <v>39.9</v>
      </c>
      <c r="L27" s="12"/>
      <c r="Q27" s="33">
        <v>3</v>
      </c>
      <c r="R27" s="38">
        <v>26.6</v>
      </c>
      <c r="S27" s="38">
        <v>39.9</v>
      </c>
      <c r="T27" s="12"/>
      <c r="Y27" s="33">
        <v>3</v>
      </c>
      <c r="Z27" s="38">
        <v>26.6</v>
      </c>
      <c r="AA27" s="38">
        <v>39.9</v>
      </c>
      <c r="AB27" s="12"/>
      <c r="AG27" s="33">
        <v>3</v>
      </c>
      <c r="AH27" s="38">
        <v>84</v>
      </c>
      <c r="AI27" s="38">
        <v>126</v>
      </c>
      <c r="AJ27" s="12"/>
    </row>
    <row r="28" spans="1:40" x14ac:dyDescent="0.25">
      <c r="A28" s="33">
        <v>4</v>
      </c>
      <c r="B28" s="38">
        <v>41.9</v>
      </c>
      <c r="C28" s="38">
        <v>62.85</v>
      </c>
      <c r="D28" s="12"/>
      <c r="E28" s="14"/>
      <c r="F28" s="51"/>
      <c r="I28" s="33">
        <v>4</v>
      </c>
      <c r="J28" s="38">
        <v>41.9</v>
      </c>
      <c r="K28" s="38">
        <v>62.85</v>
      </c>
      <c r="L28" s="12"/>
      <c r="Q28" s="33">
        <v>4</v>
      </c>
      <c r="R28" s="38">
        <v>41.9</v>
      </c>
      <c r="S28" s="38">
        <v>62.85</v>
      </c>
      <c r="T28" s="12"/>
      <c r="Y28" s="33">
        <v>4</v>
      </c>
      <c r="Z28" s="38">
        <v>41.9</v>
      </c>
      <c r="AA28" s="38">
        <v>62.85</v>
      </c>
      <c r="AB28" s="12"/>
      <c r="AG28" s="33">
        <v>4</v>
      </c>
      <c r="AH28" s="38">
        <v>84</v>
      </c>
      <c r="AI28" s="38">
        <v>126</v>
      </c>
      <c r="AJ28" s="12"/>
    </row>
    <row r="29" spans="1:40" x14ac:dyDescent="0.25">
      <c r="A29" s="33">
        <v>6</v>
      </c>
      <c r="B29" s="38">
        <v>64.599999999999994</v>
      </c>
      <c r="C29" s="38">
        <v>96.9</v>
      </c>
      <c r="D29" s="12"/>
      <c r="E29" s="64"/>
      <c r="F29" s="51"/>
      <c r="I29" s="33">
        <v>6</v>
      </c>
      <c r="J29" s="38">
        <v>64.599999999999994</v>
      </c>
      <c r="K29" s="38">
        <v>96.9</v>
      </c>
      <c r="L29" s="12"/>
      <c r="Q29" s="33">
        <v>6</v>
      </c>
      <c r="R29" s="38">
        <v>64.599999999999994</v>
      </c>
      <c r="S29" s="38">
        <v>96.9</v>
      </c>
      <c r="T29" s="12"/>
      <c r="Y29" s="33">
        <v>6</v>
      </c>
      <c r="Z29" s="38">
        <v>64.599999999999994</v>
      </c>
      <c r="AA29" s="38">
        <v>96.9</v>
      </c>
      <c r="AB29" s="12"/>
      <c r="AG29" s="33">
        <v>6</v>
      </c>
      <c r="AH29" s="38">
        <v>84</v>
      </c>
      <c r="AI29" s="38">
        <v>126</v>
      </c>
      <c r="AJ29" s="12"/>
    </row>
    <row r="30" spans="1:40" x14ac:dyDescent="0.25">
      <c r="A30" s="33">
        <v>8</v>
      </c>
      <c r="B30" s="38">
        <v>87.5</v>
      </c>
      <c r="C30" s="38">
        <v>131.25</v>
      </c>
      <c r="D30" s="12"/>
      <c r="E30" s="64"/>
      <c r="F30" s="51"/>
      <c r="I30" s="33">
        <v>8</v>
      </c>
      <c r="J30" s="38">
        <v>87.5</v>
      </c>
      <c r="K30" s="38">
        <v>131.25</v>
      </c>
      <c r="L30" s="12"/>
      <c r="Q30" s="33">
        <v>8</v>
      </c>
      <c r="R30" s="38">
        <v>87.5</v>
      </c>
      <c r="S30" s="38">
        <v>131.25</v>
      </c>
      <c r="T30" s="12"/>
      <c r="Y30" s="33">
        <v>8</v>
      </c>
      <c r="Z30" s="38">
        <v>87.5</v>
      </c>
      <c r="AA30" s="38">
        <v>131.25</v>
      </c>
      <c r="AB30" s="12"/>
      <c r="AG30" s="33">
        <v>8</v>
      </c>
      <c r="AH30" s="38">
        <v>89</v>
      </c>
      <c r="AI30" s="38">
        <v>133.5</v>
      </c>
      <c r="AJ30" s="12"/>
    </row>
    <row r="31" spans="1:40" x14ac:dyDescent="0.25">
      <c r="A31" s="33">
        <v>10</v>
      </c>
      <c r="B31" s="38">
        <v>125.5</v>
      </c>
      <c r="C31" s="38">
        <v>188.25</v>
      </c>
      <c r="D31" s="12"/>
      <c r="E31" s="64"/>
      <c r="F31" s="51"/>
      <c r="I31" s="33">
        <v>10</v>
      </c>
      <c r="J31" s="38">
        <v>125.5</v>
      </c>
      <c r="K31" s="38">
        <v>188.25</v>
      </c>
      <c r="L31" s="12"/>
      <c r="Q31" s="33">
        <v>10</v>
      </c>
      <c r="R31" s="38">
        <v>125.5</v>
      </c>
      <c r="S31" s="38">
        <v>188.25</v>
      </c>
      <c r="T31" s="12"/>
      <c r="Y31" s="33">
        <v>10</v>
      </c>
      <c r="Z31" s="38">
        <v>125.5</v>
      </c>
      <c r="AA31" s="38">
        <v>188.25</v>
      </c>
      <c r="AB31" s="12"/>
      <c r="AG31" s="33">
        <v>10</v>
      </c>
      <c r="AH31" s="38">
        <v>128</v>
      </c>
      <c r="AI31" s="38">
        <v>192</v>
      </c>
      <c r="AJ31" s="12"/>
    </row>
    <row r="32" spans="1:40" x14ac:dyDescent="0.25">
      <c r="A32" s="33">
        <v>12</v>
      </c>
      <c r="B32" s="38">
        <v>161</v>
      </c>
      <c r="C32" s="38">
        <v>241.5</v>
      </c>
      <c r="D32" s="12"/>
      <c r="E32" s="14"/>
      <c r="F32" s="66"/>
      <c r="I32" s="33">
        <v>12</v>
      </c>
      <c r="J32" s="38">
        <v>161</v>
      </c>
      <c r="K32" s="38">
        <v>241.5</v>
      </c>
      <c r="L32" s="12"/>
      <c r="Q32" s="33">
        <v>12</v>
      </c>
      <c r="R32" s="38">
        <v>161</v>
      </c>
      <c r="S32" s="38">
        <v>241.5</v>
      </c>
      <c r="T32" s="12"/>
      <c r="Y32" s="33">
        <v>12</v>
      </c>
      <c r="Z32" s="38">
        <v>161</v>
      </c>
      <c r="AA32" s="38">
        <v>241.5</v>
      </c>
      <c r="AB32" s="12"/>
      <c r="AG32" s="33">
        <v>12</v>
      </c>
      <c r="AH32" s="38">
        <v>161</v>
      </c>
      <c r="AI32" s="38">
        <v>241.5</v>
      </c>
      <c r="AJ32" s="12"/>
    </row>
    <row r="33" spans="1:36" x14ac:dyDescent="0.25">
      <c r="A33" s="13"/>
      <c r="B33" s="14"/>
      <c r="C33" s="14"/>
      <c r="D33" s="12"/>
      <c r="I33" s="13"/>
      <c r="J33" s="1"/>
      <c r="K33" s="14"/>
      <c r="L33" s="12"/>
      <c r="Q33" s="13"/>
      <c r="R33" s="1"/>
      <c r="S33" s="14"/>
      <c r="T33" s="12"/>
      <c r="Y33" s="13"/>
      <c r="Z33" s="1"/>
      <c r="AA33" s="14"/>
      <c r="AB33" s="12"/>
      <c r="AG33" s="13"/>
      <c r="AH33" s="1"/>
      <c r="AI33" s="14"/>
      <c r="AJ33" s="12"/>
    </row>
    <row r="34" spans="1:36" x14ac:dyDescent="0.25">
      <c r="A34" s="23" t="s">
        <v>24</v>
      </c>
      <c r="B34" s="24" t="s">
        <v>0</v>
      </c>
      <c r="C34" s="24" t="s">
        <v>1</v>
      </c>
      <c r="D34" s="12"/>
      <c r="I34" s="23" t="s">
        <v>24</v>
      </c>
      <c r="J34" s="24" t="s">
        <v>0</v>
      </c>
      <c r="K34" s="24" t="s">
        <v>1</v>
      </c>
      <c r="L34" s="12"/>
      <c r="Q34" s="23" t="s">
        <v>24</v>
      </c>
      <c r="R34" s="24" t="s">
        <v>0</v>
      </c>
      <c r="S34" s="24" t="s">
        <v>1</v>
      </c>
      <c r="T34" s="12"/>
      <c r="Y34" s="23" t="s">
        <v>24</v>
      </c>
      <c r="Z34" s="24" t="s">
        <v>0</v>
      </c>
      <c r="AA34" s="24" t="s">
        <v>1</v>
      </c>
      <c r="AB34" s="12"/>
      <c r="AG34" s="23" t="s">
        <v>24</v>
      </c>
      <c r="AH34" s="24" t="s">
        <v>0</v>
      </c>
      <c r="AI34" s="24" t="s">
        <v>1</v>
      </c>
      <c r="AJ34" s="12"/>
    </row>
    <row r="35" spans="1:36" x14ac:dyDescent="0.25">
      <c r="A35" s="25">
        <v>2000</v>
      </c>
      <c r="B35" s="19">
        <v>2.8</v>
      </c>
      <c r="C35" s="19">
        <v>4.2</v>
      </c>
      <c r="D35" s="12"/>
      <c r="I35" s="25">
        <v>2000</v>
      </c>
      <c r="J35" s="19">
        <v>2.8</v>
      </c>
      <c r="K35" s="19">
        <v>4.2</v>
      </c>
      <c r="L35" s="12"/>
      <c r="Q35" s="25">
        <v>2000</v>
      </c>
      <c r="R35" s="19">
        <v>2.8</v>
      </c>
      <c r="S35" s="19">
        <v>4.2</v>
      </c>
      <c r="T35" s="12"/>
      <c r="Y35" s="25">
        <v>2000</v>
      </c>
      <c r="Z35" s="19">
        <v>2.8</v>
      </c>
      <c r="AA35" s="19">
        <v>4.2</v>
      </c>
      <c r="AB35" s="12"/>
      <c r="AG35" s="25">
        <v>2000</v>
      </c>
      <c r="AH35" s="19">
        <v>1.65</v>
      </c>
      <c r="AI35" s="19">
        <v>2.48</v>
      </c>
      <c r="AJ35" s="12"/>
    </row>
    <row r="36" spans="1:36" x14ac:dyDescent="0.25">
      <c r="A36" s="25"/>
      <c r="B36" s="19"/>
      <c r="C36" s="19"/>
      <c r="D36" s="12"/>
      <c r="I36" s="25"/>
      <c r="J36" s="19"/>
      <c r="K36" s="19"/>
      <c r="L36" s="12"/>
      <c r="Q36" s="25"/>
      <c r="R36" s="19"/>
      <c r="S36" s="19"/>
      <c r="T36" s="12"/>
      <c r="Y36" s="25"/>
      <c r="Z36" s="19"/>
      <c r="AA36" s="19"/>
      <c r="AB36" s="12"/>
      <c r="AG36" s="25"/>
      <c r="AH36" s="19"/>
      <c r="AI36" s="19"/>
      <c r="AJ36" s="12"/>
    </row>
    <row r="37" spans="1:36" x14ac:dyDescent="0.25">
      <c r="A37" s="25"/>
      <c r="B37" s="19"/>
      <c r="C37" s="19"/>
      <c r="D37" s="12"/>
      <c r="I37" s="25"/>
      <c r="J37" s="19"/>
      <c r="K37" s="19"/>
      <c r="L37" s="12"/>
      <c r="Q37" s="25"/>
      <c r="R37" s="19"/>
      <c r="S37" s="19"/>
      <c r="T37" s="12"/>
      <c r="Y37" s="25"/>
      <c r="Z37" s="19"/>
      <c r="AA37" s="19"/>
      <c r="AB37" s="12"/>
      <c r="AG37" s="25"/>
      <c r="AH37" s="19"/>
      <c r="AI37" s="19"/>
      <c r="AJ37" s="12"/>
    </row>
    <row r="38" spans="1:36" x14ac:dyDescent="0.25">
      <c r="A38" s="25"/>
      <c r="B38" s="19"/>
      <c r="C38" s="19"/>
      <c r="D38" s="12"/>
      <c r="I38" s="13"/>
      <c r="J38" s="1"/>
      <c r="K38" s="14"/>
      <c r="L38" s="12"/>
      <c r="Q38" s="13"/>
      <c r="R38" s="1"/>
      <c r="S38" s="14"/>
      <c r="T38" s="12"/>
      <c r="Y38" s="13"/>
      <c r="Z38" s="1"/>
      <c r="AA38" s="14"/>
      <c r="AB38" s="12"/>
      <c r="AG38" s="13"/>
      <c r="AH38" s="1"/>
      <c r="AI38" s="14"/>
      <c r="AJ38" s="12"/>
    </row>
    <row r="39" spans="1:36" x14ac:dyDescent="0.25">
      <c r="A39" s="13"/>
      <c r="B39" s="14"/>
      <c r="C39" s="14"/>
      <c r="D39" s="12"/>
      <c r="I39" s="13"/>
      <c r="J39" s="1"/>
      <c r="K39" s="14"/>
      <c r="L39" s="12"/>
      <c r="Q39" s="13"/>
      <c r="R39" s="1"/>
      <c r="S39" s="14"/>
      <c r="T39" s="12"/>
      <c r="Y39" s="13"/>
      <c r="Z39" s="1"/>
      <c r="AA39" s="14"/>
      <c r="AB39" s="12"/>
      <c r="AG39" s="13"/>
      <c r="AH39" s="1"/>
      <c r="AI39" s="14"/>
      <c r="AJ39" s="12"/>
    </row>
    <row r="40" spans="1:36" x14ac:dyDescent="0.25">
      <c r="A40" s="13" t="s">
        <v>18</v>
      </c>
      <c r="B40" s="14">
        <f>VLOOKUP(Results!G6,A23:C32,IF(Results!G7="outside",3,2))</f>
        <v>19.100000000000001</v>
      </c>
      <c r="C40" s="14"/>
      <c r="D40" s="12"/>
      <c r="I40" s="39" t="s">
        <v>18</v>
      </c>
      <c r="J40" s="14">
        <f>VLOOKUP(Results!$G$6,I23:K32,IF(Results!$G$7="outside",3,2))</f>
        <v>19.100000000000001</v>
      </c>
      <c r="K40" s="14"/>
      <c r="L40" s="12"/>
      <c r="Q40" s="39" t="s">
        <v>18</v>
      </c>
      <c r="R40" s="14">
        <f>VLOOKUP(Results!$G$6,Q23:S32,IF(Results!$G$7="outside",3,2))</f>
        <v>19.100000000000001</v>
      </c>
      <c r="S40" s="14"/>
      <c r="T40" s="12"/>
      <c r="Y40" s="39" t="s">
        <v>18</v>
      </c>
      <c r="Z40" s="14">
        <f>VLOOKUP(Results!$G$6,Y23:AA32,IF(Results!$G$7="outside",3,2))</f>
        <v>19.100000000000001</v>
      </c>
      <c r="AA40" s="14"/>
      <c r="AB40" s="12"/>
      <c r="AG40" s="39" t="s">
        <v>18</v>
      </c>
      <c r="AH40" s="19">
        <f>VLOOKUP(Results!$G$6,AG23:AI32,IF(Results!$G$7="outside",3,2))</f>
        <v>84</v>
      </c>
      <c r="AI40" s="14"/>
      <c r="AJ40" s="12"/>
    </row>
    <row r="41" spans="1:36" x14ac:dyDescent="0.25">
      <c r="A41" s="34" t="s">
        <v>9</v>
      </c>
      <c r="B41" s="27" t="e">
        <f>VLOOKUP(Results!G4,A35:C35,IF(Results!G7="outside",3,2))</f>
        <v>#N/A</v>
      </c>
      <c r="C41" s="14"/>
      <c r="D41" s="12"/>
      <c r="I41" s="2" t="s">
        <v>9</v>
      </c>
      <c r="J41" s="27" t="e">
        <f>VLOOKUP(Results!$G$4,I35:K35,IF(Results!$G$7="outside",3,2))</f>
        <v>#N/A</v>
      </c>
      <c r="K41" s="14"/>
      <c r="L41" s="12"/>
      <c r="Q41" s="2" t="s">
        <v>9</v>
      </c>
      <c r="R41" s="27" t="e">
        <f>VLOOKUP(Results!$G$4,Q35:S35,IF(Results!$G$7="outside",3,2))</f>
        <v>#N/A</v>
      </c>
      <c r="S41" s="14"/>
      <c r="T41" s="12"/>
      <c r="Y41" s="2" t="s">
        <v>9</v>
      </c>
      <c r="Z41" s="27" t="e">
        <f>VLOOKUP(Results!$G$4,Y35:AA35,IF(Results!$G$7="outside",3,2))</f>
        <v>#N/A</v>
      </c>
      <c r="AA41" s="14"/>
      <c r="AB41" s="12"/>
      <c r="AG41" s="2" t="s">
        <v>9</v>
      </c>
      <c r="AH41" s="27" t="e">
        <f>VLOOKUP(Results!$G$4,AG35:AI35,IF(Results!$G$7="outside",3,2))</f>
        <v>#N/A</v>
      </c>
      <c r="AI41" s="14"/>
      <c r="AJ41" s="12"/>
    </row>
    <row r="42" spans="1:36" x14ac:dyDescent="0.25">
      <c r="A42" s="37" t="s">
        <v>48</v>
      </c>
      <c r="B42" s="29">
        <v>2000</v>
      </c>
      <c r="C42" s="14"/>
      <c r="D42" s="12"/>
      <c r="I42" s="37" t="s">
        <v>48</v>
      </c>
      <c r="J42" s="29" t="e">
        <f>IF(J41=J35,I35,IF(J41=K35,I35,IF(J41=J36,I36,IF(J41=K36,I36,IF(J41=J37,I37,IF(J41=K37,I37))))))</f>
        <v>#N/A</v>
      </c>
      <c r="K42" s="14"/>
      <c r="L42" s="12"/>
      <c r="Q42" s="37" t="s">
        <v>48</v>
      </c>
      <c r="R42" s="29" t="e">
        <f>IF(R41=R35,Q35,IF(R41=S35,Q35,IF(R41=R36,Q36,IF(R41=S36,Q36,IF(R41=R37,Q37,IF(R41=S37,Q37))))))</f>
        <v>#N/A</v>
      </c>
      <c r="S42" s="14"/>
      <c r="T42" s="12"/>
      <c r="Y42" s="37" t="s">
        <v>48</v>
      </c>
      <c r="Z42" s="29" t="e">
        <f>IF(Z41=Z35,Y35,IF(Z41=AA35,Y35,IF(Z41=Z36,Y36,IF(Z41=AA36,Y36,IF(Z41=Z37,Y37,IF(Z41=AA37,Y37))))))</f>
        <v>#N/A</v>
      </c>
      <c r="AA42" s="14"/>
      <c r="AB42" s="12"/>
      <c r="AG42" s="37" t="s">
        <v>48</v>
      </c>
      <c r="AH42" s="29" t="e">
        <f>IF(AH41=AH35,AG35,IF(AH41=AI35,AG35,IF(AH41=AH36,AG36,IF(AH41=AI36,AG36,IF(AH41=AH37,AG37,IF(AH41=AI37,AG37))))))</f>
        <v>#N/A</v>
      </c>
      <c r="AI42" s="14"/>
      <c r="AJ42" s="12"/>
    </row>
    <row r="43" spans="1:36" x14ac:dyDescent="0.25">
      <c r="A43" s="13" t="s">
        <v>11</v>
      </c>
      <c r="B43" s="5">
        <f>IF(Results!G4&gt;10000,10000,Results!G4)</f>
        <v>0</v>
      </c>
      <c r="C43" s="14"/>
      <c r="D43" s="12"/>
      <c r="I43" s="39" t="s">
        <v>11</v>
      </c>
      <c r="J43" s="5">
        <f>Results!G4</f>
        <v>0</v>
      </c>
      <c r="K43" s="14"/>
      <c r="L43" s="12"/>
      <c r="Q43" s="39" t="s">
        <v>11</v>
      </c>
      <c r="R43" s="5">
        <f>Results!G4</f>
        <v>0</v>
      </c>
      <c r="S43" s="14"/>
      <c r="T43" s="12"/>
      <c r="Y43" s="39" t="s">
        <v>11</v>
      </c>
      <c r="Z43" s="5">
        <f>Results!G4</f>
        <v>0</v>
      </c>
      <c r="AA43" s="14"/>
      <c r="AB43" s="12"/>
      <c r="AG43" s="39" t="s">
        <v>11</v>
      </c>
      <c r="AH43" s="5">
        <f>Results!G4</f>
        <v>0</v>
      </c>
      <c r="AI43" s="14"/>
      <c r="AJ43" s="12"/>
    </row>
    <row r="44" spans="1:36" x14ac:dyDescent="0.25">
      <c r="A44" s="13" t="s">
        <v>12</v>
      </c>
      <c r="B44" s="30">
        <f>B43-B42</f>
        <v>-2000</v>
      </c>
      <c r="C44" s="14"/>
      <c r="D44" s="12"/>
      <c r="I44" s="39" t="s">
        <v>12</v>
      </c>
      <c r="J44" s="30" t="e">
        <f>J43-J42</f>
        <v>#N/A</v>
      </c>
      <c r="K44" s="14"/>
      <c r="L44" s="12"/>
      <c r="Q44" s="39" t="s">
        <v>12</v>
      </c>
      <c r="R44" s="30" t="e">
        <f>R43-R42</f>
        <v>#N/A</v>
      </c>
      <c r="S44" s="14"/>
      <c r="T44" s="12"/>
      <c r="Y44" s="39" t="s">
        <v>12</v>
      </c>
      <c r="Z44" s="30" t="e">
        <f>Z43-Z42</f>
        <v>#N/A</v>
      </c>
      <c r="AA44" s="14"/>
      <c r="AB44" s="12"/>
      <c r="AG44" s="39" t="s">
        <v>12</v>
      </c>
      <c r="AH44" s="30" t="e">
        <f>AH43-AH42</f>
        <v>#N/A</v>
      </c>
      <c r="AI44" s="14"/>
      <c r="AJ44" s="12"/>
    </row>
    <row r="45" spans="1:36" x14ac:dyDescent="0.25">
      <c r="A45" s="2" t="s">
        <v>13</v>
      </c>
      <c r="B45" s="9" t="e">
        <f>B44/1000*B41</f>
        <v>#N/A</v>
      </c>
      <c r="C45" s="14"/>
      <c r="D45" s="12"/>
      <c r="I45" s="2" t="s">
        <v>13</v>
      </c>
      <c r="J45" s="9" t="e">
        <f>J44/1000*J41</f>
        <v>#N/A</v>
      </c>
      <c r="K45" s="14"/>
      <c r="L45" s="12"/>
      <c r="Q45" s="2" t="s">
        <v>13</v>
      </c>
      <c r="R45" s="9" t="e">
        <f>R44/1000*R41</f>
        <v>#N/A</v>
      </c>
      <c r="S45" s="14"/>
      <c r="T45" s="12"/>
      <c r="Y45" s="2" t="s">
        <v>13</v>
      </c>
      <c r="Z45" s="9" t="e">
        <f>Z44/1000*Z41</f>
        <v>#N/A</v>
      </c>
      <c r="AA45" s="14"/>
      <c r="AB45" s="12"/>
      <c r="AG45" s="2" t="s">
        <v>13</v>
      </c>
      <c r="AH45" s="9" t="e">
        <f>AH44/1000*AH41</f>
        <v>#N/A</v>
      </c>
      <c r="AI45" s="14"/>
      <c r="AJ45" s="12"/>
    </row>
    <row r="46" spans="1:36" x14ac:dyDescent="0.25">
      <c r="A46" s="15"/>
      <c r="B46" s="16"/>
      <c r="C46" s="16"/>
      <c r="D46" s="17"/>
      <c r="I46" s="15"/>
      <c r="J46" s="31"/>
      <c r="K46" s="16"/>
      <c r="L46" s="17"/>
      <c r="Q46" s="15"/>
      <c r="R46" s="31"/>
      <c r="S46" s="16"/>
      <c r="T46" s="17"/>
      <c r="Y46" s="15"/>
      <c r="Z46" s="31"/>
      <c r="AA46" s="16"/>
      <c r="AB46" s="17"/>
      <c r="AG46" s="15"/>
      <c r="AH46" s="31"/>
      <c r="AI46" s="16"/>
      <c r="AJ46" s="17"/>
    </row>
    <row r="48" spans="1:36" x14ac:dyDescent="0.25">
      <c r="H48" s="117" t="s">
        <v>52</v>
      </c>
      <c r="I48" s="117"/>
      <c r="J48" s="117"/>
      <c r="K48" s="117"/>
      <c r="L48" s="117"/>
      <c r="M48" s="117"/>
    </row>
    <row r="49" spans="1:14" x14ac:dyDescent="0.25">
      <c r="A49" t="s">
        <v>46</v>
      </c>
      <c r="H49" s="116" t="s">
        <v>23</v>
      </c>
      <c r="I49" s="116"/>
      <c r="J49" s="116"/>
      <c r="K49" s="116" t="s">
        <v>53</v>
      </c>
      <c r="L49" s="116"/>
      <c r="M49" s="116"/>
    </row>
    <row r="50" spans="1:14" x14ac:dyDescent="0.25">
      <c r="A50" s="35" t="s">
        <v>4</v>
      </c>
      <c r="B50" s="11">
        <v>25</v>
      </c>
      <c r="I50" s="78" t="s">
        <v>0</v>
      </c>
      <c r="J50" s="79" t="s">
        <v>1</v>
      </c>
      <c r="L50" s="78" t="s">
        <v>0</v>
      </c>
      <c r="M50" s="79" t="s">
        <v>1</v>
      </c>
    </row>
    <row r="51" spans="1:14" x14ac:dyDescent="0.25">
      <c r="A51" t="s">
        <v>7</v>
      </c>
      <c r="B51" s="12">
        <v>208.32</v>
      </c>
      <c r="H51" s="74">
        <v>0.625</v>
      </c>
      <c r="I51" s="76">
        <v>15.8</v>
      </c>
      <c r="J51" s="77">
        <v>23.7</v>
      </c>
      <c r="K51" s="74">
        <v>0.625</v>
      </c>
      <c r="L51" s="76">
        <v>15.8</v>
      </c>
      <c r="M51" s="76">
        <v>23.7</v>
      </c>
    </row>
    <row r="52" spans="1:14" x14ac:dyDescent="0.25">
      <c r="A52" s="61" t="s">
        <v>6</v>
      </c>
      <c r="B52" s="12">
        <v>208.32</v>
      </c>
      <c r="H52" s="75">
        <v>1</v>
      </c>
      <c r="I52" s="76">
        <v>15.8</v>
      </c>
      <c r="J52" s="77">
        <v>23.7</v>
      </c>
      <c r="K52" s="75">
        <v>1</v>
      </c>
      <c r="L52" s="76">
        <v>15.8</v>
      </c>
      <c r="M52" s="76">
        <v>23.7</v>
      </c>
    </row>
    <row r="53" spans="1:14" x14ac:dyDescent="0.25">
      <c r="A53" s="61" t="s">
        <v>5</v>
      </c>
      <c r="B53" s="12">
        <v>208.32</v>
      </c>
      <c r="H53" s="74">
        <v>1.5</v>
      </c>
      <c r="I53" s="76">
        <v>15.8</v>
      </c>
      <c r="J53" s="77">
        <v>23.7</v>
      </c>
      <c r="K53" s="74">
        <v>1.5</v>
      </c>
      <c r="L53" s="76">
        <v>15.8</v>
      </c>
      <c r="M53" s="76">
        <v>23.7</v>
      </c>
    </row>
    <row r="54" spans="1:14" x14ac:dyDescent="0.25">
      <c r="A54" s="62" t="s">
        <v>45</v>
      </c>
      <c r="B54" s="17">
        <v>208.32</v>
      </c>
      <c r="H54" s="75">
        <v>2</v>
      </c>
      <c r="I54" s="76">
        <v>18.5</v>
      </c>
      <c r="J54" s="77">
        <v>27.75</v>
      </c>
      <c r="K54" s="75">
        <v>2</v>
      </c>
      <c r="L54" s="76">
        <v>18.5</v>
      </c>
      <c r="M54" s="76">
        <v>27.75</v>
      </c>
    </row>
    <row r="55" spans="1:14" x14ac:dyDescent="0.25">
      <c r="A55" t="s">
        <v>47</v>
      </c>
      <c r="B55">
        <f>IF(Results!G7="outside",0,IF(Results!G5="Residential",25,208.32))</f>
        <v>25</v>
      </c>
      <c r="H55" s="75">
        <v>3</v>
      </c>
      <c r="I55" s="76">
        <v>21.4</v>
      </c>
      <c r="J55" s="77">
        <v>32.1</v>
      </c>
      <c r="K55" s="75">
        <v>3</v>
      </c>
      <c r="L55" s="76">
        <v>21.4</v>
      </c>
      <c r="M55" s="76">
        <v>32.1</v>
      </c>
    </row>
    <row r="56" spans="1:14" x14ac:dyDescent="0.25">
      <c r="H56" s="75">
        <v>4</v>
      </c>
      <c r="I56" s="76">
        <v>32.5</v>
      </c>
      <c r="J56" s="77">
        <v>48.75</v>
      </c>
      <c r="K56" s="75">
        <v>4</v>
      </c>
      <c r="L56" s="76">
        <v>32.5</v>
      </c>
      <c r="M56" s="76">
        <v>48.75</v>
      </c>
    </row>
    <row r="57" spans="1:14" x14ac:dyDescent="0.25">
      <c r="H57" s="75">
        <v>6</v>
      </c>
      <c r="I57" s="76">
        <v>48</v>
      </c>
      <c r="J57" s="77">
        <v>72</v>
      </c>
      <c r="K57" s="75">
        <v>6</v>
      </c>
      <c r="L57" s="76">
        <v>48</v>
      </c>
      <c r="M57" s="76">
        <v>72</v>
      </c>
    </row>
    <row r="58" spans="1:14" x14ac:dyDescent="0.25">
      <c r="H58" s="75">
        <v>8</v>
      </c>
      <c r="I58" s="76">
        <v>64.599999999999994</v>
      </c>
      <c r="J58" s="77">
        <v>96.9</v>
      </c>
      <c r="K58" s="75">
        <v>8</v>
      </c>
      <c r="L58" s="76">
        <v>64.599999999999994</v>
      </c>
      <c r="M58" s="76">
        <v>96.9</v>
      </c>
    </row>
    <row r="59" spans="1:14" x14ac:dyDescent="0.25">
      <c r="H59" s="75">
        <v>10</v>
      </c>
      <c r="I59" s="76">
        <v>91.3</v>
      </c>
      <c r="J59" s="77">
        <v>136.94999999999999</v>
      </c>
      <c r="K59" s="75">
        <v>10</v>
      </c>
      <c r="L59" s="76">
        <v>91.3</v>
      </c>
      <c r="M59" s="76">
        <v>136.94999999999999</v>
      </c>
    </row>
    <row r="60" spans="1:14" x14ac:dyDescent="0.25">
      <c r="G60" s="91">
        <f>VLOOKUP(Results!G6,H51:J60,IF(Results!G7="outside",3,2))</f>
        <v>15.8</v>
      </c>
      <c r="H60" s="75">
        <v>12</v>
      </c>
      <c r="I60" s="76">
        <v>117.9</v>
      </c>
      <c r="J60" s="77">
        <v>176.85</v>
      </c>
      <c r="K60" s="75">
        <v>12</v>
      </c>
      <c r="L60" s="76">
        <v>117.9</v>
      </c>
      <c r="M60" s="76">
        <v>176.85</v>
      </c>
      <c r="N60" s="91">
        <f>VLOOKUP(Results!G6,K51:M60,IF(Results!G7="outside",3,2))</f>
        <v>15.8</v>
      </c>
    </row>
    <row r="61" spans="1:14" x14ac:dyDescent="0.25">
      <c r="H61" s="35"/>
      <c r="I61" s="78" t="s">
        <v>0</v>
      </c>
      <c r="J61" s="79" t="s">
        <v>1</v>
      </c>
      <c r="K61" s="35"/>
      <c r="L61" s="78" t="s">
        <v>0</v>
      </c>
      <c r="M61" s="79" t="s">
        <v>1</v>
      </c>
    </row>
    <row r="62" spans="1:14" x14ac:dyDescent="0.25">
      <c r="H62" s="80">
        <v>2000</v>
      </c>
      <c r="I62" s="38">
        <v>3.4</v>
      </c>
      <c r="J62" s="81">
        <v>5.0999999999999996</v>
      </c>
      <c r="K62" s="80">
        <v>2000</v>
      </c>
      <c r="L62" s="38">
        <v>3.4</v>
      </c>
      <c r="M62" s="81">
        <v>5.0999999999999996</v>
      </c>
    </row>
    <row r="63" spans="1:14" x14ac:dyDescent="0.25">
      <c r="H63" s="80">
        <v>25000</v>
      </c>
      <c r="I63" s="38">
        <v>3.95</v>
      </c>
      <c r="J63" s="81">
        <v>5.93</v>
      </c>
      <c r="K63" s="80">
        <v>1000000</v>
      </c>
      <c r="L63" s="38">
        <v>3.95</v>
      </c>
      <c r="M63" s="81">
        <v>5.93</v>
      </c>
    </row>
    <row r="64" spans="1:14" x14ac:dyDescent="0.25">
      <c r="H64" s="80">
        <v>1000000</v>
      </c>
      <c r="I64" s="38">
        <v>4.5</v>
      </c>
      <c r="J64" s="81">
        <v>6.75</v>
      </c>
      <c r="K64" s="80">
        <v>5000000</v>
      </c>
      <c r="L64" s="38">
        <v>4.5</v>
      </c>
      <c r="M64" s="81">
        <v>6.75</v>
      </c>
    </row>
    <row r="65" spans="7:17" x14ac:dyDescent="0.25">
      <c r="H65" s="25">
        <v>5000000</v>
      </c>
      <c r="I65" s="38">
        <v>5.2</v>
      </c>
      <c r="J65" s="81">
        <v>7.8</v>
      </c>
      <c r="K65" s="25"/>
      <c r="L65" s="38"/>
      <c r="M65" s="81"/>
    </row>
    <row r="66" spans="7:17" x14ac:dyDescent="0.25">
      <c r="G66" s="35"/>
      <c r="H66" s="82"/>
      <c r="I66" s="21"/>
      <c r="J66" s="11"/>
      <c r="K66" s="35"/>
      <c r="L66" s="21"/>
      <c r="M66" s="21"/>
      <c r="N66" s="11"/>
      <c r="P66" s="110" t="s">
        <v>59</v>
      </c>
      <c r="Q66" s="110"/>
    </row>
    <row r="67" spans="7:17" x14ac:dyDescent="0.25">
      <c r="G67" s="54">
        <f>23*I62</f>
        <v>78.2</v>
      </c>
      <c r="H67" s="55">
        <f>23*J62</f>
        <v>117.3</v>
      </c>
      <c r="I67" s="35" t="e">
        <f>IF($J$72=I63,G67)</f>
        <v>#N/A</v>
      </c>
      <c r="J67" s="11" t="e">
        <f>IF($J$72=J63,H67)</f>
        <v>#N/A</v>
      </c>
      <c r="K67" s="54"/>
      <c r="L67" s="54"/>
      <c r="M67" s="35" t="e">
        <f>IF($N$72=L63,K68)</f>
        <v>#N/A</v>
      </c>
      <c r="N67" s="11" t="e">
        <f>IF($J$72=M63,L68)</f>
        <v>#N/A</v>
      </c>
      <c r="P67">
        <f>IF(Results!$G$5="Residential",'FY21 Inclining Data'!G14,IF(Results!$G$5="Multi-Family Residential",'FY21 Inclining Data'!O14,IF(Results!$G$5="Commercial",'FY21 Inclining Data'!W14,IF(Results!$G$5="Governmental",'FY21 Inclining Data'!AE14,IF(Results!$G$5="Institutional",'FY21 Inclining Data'!AE14,IF(Results!$G$5="Industrial",'FY21 Inclining Data'!AM14))))))</f>
        <v>15.8</v>
      </c>
    </row>
    <row r="68" spans="7:17" x14ac:dyDescent="0.25">
      <c r="G68" s="56">
        <f>975*I63</f>
        <v>3851.25</v>
      </c>
      <c r="H68" s="57">
        <f>975*J63</f>
        <v>5781.75</v>
      </c>
      <c r="I68" s="13" t="e">
        <f>IF($J$72=I64,SUM(G67:G68))</f>
        <v>#N/A</v>
      </c>
      <c r="J68" s="12" t="e">
        <f>IF($J$72=J64,SUM(H67:H68))</f>
        <v>#N/A</v>
      </c>
      <c r="K68" s="56">
        <f>998*L62</f>
        <v>3393.2</v>
      </c>
      <c r="L68" s="56">
        <f>998*M62</f>
        <v>5089.7999999999993</v>
      </c>
      <c r="M68" s="13" t="e">
        <f>IF($N$72=L63,SUM(K68:K69))</f>
        <v>#N/A</v>
      </c>
      <c r="N68" s="12" t="e">
        <f>IF($J$72=M64,SUM(L68:L69))</f>
        <v>#N/A</v>
      </c>
    </row>
    <row r="69" spans="7:17" x14ac:dyDescent="0.25">
      <c r="G69" s="52">
        <f>4000*I64</f>
        <v>18000</v>
      </c>
      <c r="H69" s="58">
        <f>4000*J64</f>
        <v>27000</v>
      </c>
      <c r="I69" s="15" t="e">
        <f>IF($J$72=I65,SUM(G67:G69))</f>
        <v>#N/A</v>
      </c>
      <c r="J69" s="17" t="e">
        <f>IF($J$72=J65,SUM(H67:H69))</f>
        <v>#N/A</v>
      </c>
      <c r="K69" s="52">
        <f>4000*L63</f>
        <v>15800</v>
      </c>
      <c r="L69" s="52">
        <f>4000*M63</f>
        <v>23720</v>
      </c>
      <c r="M69" s="15"/>
      <c r="N69" s="17"/>
    </row>
    <row r="70" spans="7:17" x14ac:dyDescent="0.25">
      <c r="G70" s="13"/>
      <c r="H70" s="83"/>
      <c r="I70" s="14" t="s">
        <v>18</v>
      </c>
      <c r="J70" s="84">
        <f>IF(Results!G8="yes",VLOOKUP(Results!G11,'FY21 Inclining Data'!H51:J60,IF(Results!G7="inside",2,3)),0)</f>
        <v>0</v>
      </c>
      <c r="K70" s="13"/>
      <c r="L70" s="83"/>
      <c r="M70" s="14" t="s">
        <v>18</v>
      </c>
      <c r="N70" s="84">
        <f>IF(Results!G8="yes",VLOOKUP(Results!G11,K51:M60,IF(Results!G7="inside",2,3)),0)</f>
        <v>0</v>
      </c>
    </row>
    <row r="71" spans="7:17" x14ac:dyDescent="0.25">
      <c r="G71" s="13"/>
      <c r="H71" s="14"/>
      <c r="I71" s="14"/>
      <c r="J71" s="12"/>
      <c r="K71" s="13"/>
      <c r="L71" s="14"/>
      <c r="M71" s="14"/>
      <c r="N71" s="12"/>
    </row>
    <row r="72" spans="7:17" x14ac:dyDescent="0.25">
      <c r="G72" s="13"/>
      <c r="H72" s="109" t="s">
        <v>9</v>
      </c>
      <c r="I72" s="100"/>
      <c r="J72" s="85" t="e">
        <f>VLOOKUP(Results!G10,H62:J65,IF(Results!G7="outside",3,2))</f>
        <v>#N/A</v>
      </c>
      <c r="K72" s="13"/>
      <c r="L72" s="109" t="s">
        <v>9</v>
      </c>
      <c r="M72" s="100"/>
      <c r="N72" s="85" t="e">
        <f>VLOOKUP(Results!C10,K62:M64,IF(Results!C7="outside",3,2))</f>
        <v>#N/A</v>
      </c>
    </row>
    <row r="73" spans="7:17" x14ac:dyDescent="0.25">
      <c r="G73" s="13"/>
      <c r="H73" s="13"/>
      <c r="I73" s="37" t="s">
        <v>48</v>
      </c>
      <c r="J73" s="86" t="e">
        <f>IF(J72=I62,H62,IF(J72=J62,H62,IF(J72=I63,H63,IF(J72=J63,H63,IF(J72=I64,H64,IF(J72=J64,H64,IF(J72=I65,H65,IF(J72=J65,H65))))))))</f>
        <v>#N/A</v>
      </c>
      <c r="K73" s="13"/>
      <c r="L73" s="13"/>
      <c r="M73" s="37" t="s">
        <v>48</v>
      </c>
      <c r="N73" s="86" t="e">
        <f>IF(N72=L62,K62,IF(N72=M62,K62,IF(N72=L63,K63,IF(N72=M63,K63,IF(N72=L64,K64,IF(N72=M64,K64))))))</f>
        <v>#N/A</v>
      </c>
    </row>
    <row r="74" spans="7:17" x14ac:dyDescent="0.25">
      <c r="G74" s="13"/>
      <c r="H74" s="13"/>
      <c r="I74" s="14" t="s">
        <v>11</v>
      </c>
      <c r="J74" s="87">
        <f>Results!G10</f>
        <v>0</v>
      </c>
      <c r="K74" s="13"/>
      <c r="L74" s="13"/>
      <c r="M74" s="14" t="s">
        <v>11</v>
      </c>
      <c r="N74" s="87">
        <f>Results!G10</f>
        <v>0</v>
      </c>
    </row>
    <row r="75" spans="7:17" x14ac:dyDescent="0.25">
      <c r="G75" s="13"/>
      <c r="H75" s="13"/>
      <c r="I75" s="14" t="s">
        <v>12</v>
      </c>
      <c r="J75" s="88" t="e">
        <f>J74-J73</f>
        <v>#N/A</v>
      </c>
      <c r="K75" s="13"/>
      <c r="L75" s="13"/>
      <c r="M75" s="14" t="s">
        <v>12</v>
      </c>
      <c r="N75" s="88" t="e">
        <f>N74-N73</f>
        <v>#N/A</v>
      </c>
    </row>
    <row r="76" spans="7:17" x14ac:dyDescent="0.25">
      <c r="G76" s="13"/>
      <c r="H76" s="13"/>
      <c r="I76" s="73" t="s">
        <v>13</v>
      </c>
      <c r="J76" s="9" t="e">
        <f>J75/1000*J72</f>
        <v>#N/A</v>
      </c>
      <c r="K76" s="13"/>
      <c r="L76" s="13"/>
      <c r="M76" s="73" t="s">
        <v>13</v>
      </c>
      <c r="N76" s="9" t="e">
        <f>N75/1000*N72</f>
        <v>#N/A</v>
      </c>
    </row>
    <row r="77" spans="7:17" x14ac:dyDescent="0.25">
      <c r="G77" s="13"/>
      <c r="H77" s="14"/>
      <c r="I77" s="14"/>
      <c r="J77" s="89" t="e">
        <f>SUM(I67:J69)</f>
        <v>#N/A</v>
      </c>
      <c r="K77" s="13"/>
      <c r="L77" s="14"/>
      <c r="M77" s="14"/>
      <c r="N77" s="89" t="e">
        <f>SUM(M67:N68)</f>
        <v>#N/A</v>
      </c>
    </row>
    <row r="78" spans="7:17" x14ac:dyDescent="0.25">
      <c r="G78" s="15"/>
      <c r="H78" s="16"/>
      <c r="I78" s="16"/>
      <c r="J78" s="90">
        <f>IF(Results!G8="yes",J77+J76,0)</f>
        <v>0</v>
      </c>
      <c r="K78" s="15"/>
      <c r="L78" s="16"/>
      <c r="M78" s="16"/>
      <c r="N78" s="90">
        <f>IF(Results!G8="yes",N77+N76,0)</f>
        <v>0</v>
      </c>
    </row>
  </sheetData>
  <sheetProtection algorithmName="SHA-512" hashValue="76vrvwkq4wTAiaVLFX7UbmDdDXR6UbiHJAMdTb/SwYSGzEMpnUMvdPgxK0LeDsAEXRs0rWvLfwC+CDA9k9hYEw==" saltValue="Yv+3BHxe6yAYANOimqKpUA==" spinCount="100000" sheet="1" objects="1" scenarios="1"/>
  <mergeCells count="26">
    <mergeCell ref="A1:H1"/>
    <mergeCell ref="I1:P1"/>
    <mergeCell ref="I21:L21"/>
    <mergeCell ref="K49:M49"/>
    <mergeCell ref="H49:J49"/>
    <mergeCell ref="H48:M48"/>
    <mergeCell ref="A14:B14"/>
    <mergeCell ref="E14:F14"/>
    <mergeCell ref="H72:I72"/>
    <mergeCell ref="L72:M72"/>
    <mergeCell ref="A21:C21"/>
    <mergeCell ref="I14:J14"/>
    <mergeCell ref="Q21:T21"/>
    <mergeCell ref="M14:N14"/>
    <mergeCell ref="Q1:X1"/>
    <mergeCell ref="Q14:R14"/>
    <mergeCell ref="U14:V14"/>
    <mergeCell ref="P66:Q66"/>
    <mergeCell ref="AG1:AN1"/>
    <mergeCell ref="AG14:AH14"/>
    <mergeCell ref="AK14:AL14"/>
    <mergeCell ref="AG21:AJ21"/>
    <mergeCell ref="Y1:AF1"/>
    <mergeCell ref="Y14:Z14"/>
    <mergeCell ref="AC14:AD14"/>
    <mergeCell ref="Y21:AB2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H25"/>
  <sheetViews>
    <sheetView tabSelected="1" zoomScale="115" zoomScaleNormal="115" workbookViewId="0">
      <selection activeCell="G6" sqref="G6"/>
    </sheetView>
  </sheetViews>
  <sheetFormatPr defaultRowHeight="15" x14ac:dyDescent="0.25"/>
  <cols>
    <col min="1" max="1" width="22.42578125" bestFit="1" customWidth="1"/>
    <col min="2" max="2" width="15.42578125" customWidth="1"/>
    <col min="3" max="3" width="17.85546875" bestFit="1" customWidth="1"/>
    <col min="5" max="5" width="22.42578125" bestFit="1" customWidth="1"/>
    <col min="6" max="6" width="15" customWidth="1"/>
    <col min="7" max="7" width="17.85546875" bestFit="1" customWidth="1"/>
  </cols>
  <sheetData>
    <row r="1" spans="1:7" ht="18.75" x14ac:dyDescent="0.3">
      <c r="A1" s="120" t="s">
        <v>62</v>
      </c>
      <c r="B1" s="120"/>
      <c r="C1" s="120"/>
      <c r="E1" s="120" t="s">
        <v>61</v>
      </c>
      <c r="F1" s="120"/>
      <c r="G1" s="120"/>
    </row>
    <row r="2" spans="1:7" ht="18.75" x14ac:dyDescent="0.3">
      <c r="A2" s="120" t="s">
        <v>37</v>
      </c>
      <c r="B2" s="120"/>
      <c r="C2" s="120"/>
      <c r="E2" s="120" t="s">
        <v>36</v>
      </c>
      <c r="F2" s="120"/>
      <c r="G2" s="120"/>
    </row>
    <row r="3" spans="1:7" x14ac:dyDescent="0.25">
      <c r="A3" s="121" t="s">
        <v>43</v>
      </c>
      <c r="B3" s="122"/>
      <c r="C3" s="93">
        <v>0</v>
      </c>
      <c r="E3" s="121" t="s">
        <v>43</v>
      </c>
      <c r="F3" s="122"/>
      <c r="G3" s="93">
        <v>0</v>
      </c>
    </row>
    <row r="4" spans="1:7" x14ac:dyDescent="0.25">
      <c r="A4" s="109" t="s">
        <v>44</v>
      </c>
      <c r="B4" s="100"/>
      <c r="C4" s="94">
        <v>0</v>
      </c>
      <c r="E4" s="109" t="s">
        <v>44</v>
      </c>
      <c r="F4" s="100"/>
      <c r="G4" s="94">
        <v>0</v>
      </c>
    </row>
    <row r="5" spans="1:7" x14ac:dyDescent="0.25">
      <c r="A5" s="109" t="s">
        <v>3</v>
      </c>
      <c r="B5" s="100"/>
      <c r="C5" s="95" t="s">
        <v>4</v>
      </c>
      <c r="E5" s="109" t="s">
        <v>3</v>
      </c>
      <c r="F5" s="100"/>
      <c r="G5" s="95" t="s">
        <v>4</v>
      </c>
    </row>
    <row r="6" spans="1:7" x14ac:dyDescent="0.25">
      <c r="A6" s="109" t="s">
        <v>49</v>
      </c>
      <c r="B6" s="100"/>
      <c r="C6" s="95">
        <v>1.5</v>
      </c>
      <c r="E6" s="109" t="s">
        <v>49</v>
      </c>
      <c r="F6" s="100"/>
      <c r="G6" s="95">
        <v>1.5</v>
      </c>
    </row>
    <row r="7" spans="1:7" x14ac:dyDescent="0.25">
      <c r="A7" s="109" t="s">
        <v>2</v>
      </c>
      <c r="B7" s="100"/>
      <c r="C7" s="95" t="s">
        <v>0</v>
      </c>
      <c r="E7" s="109" t="s">
        <v>2</v>
      </c>
      <c r="F7" s="100"/>
      <c r="G7" s="95" t="s">
        <v>0</v>
      </c>
    </row>
    <row r="8" spans="1:7" x14ac:dyDescent="0.25">
      <c r="A8" s="109" t="s">
        <v>60</v>
      </c>
      <c r="B8" s="100"/>
      <c r="C8" s="95" t="s">
        <v>74</v>
      </c>
      <c r="E8" s="109" t="s">
        <v>60</v>
      </c>
      <c r="F8" s="100"/>
      <c r="G8" s="95" t="s">
        <v>74</v>
      </c>
    </row>
    <row r="9" spans="1:7" x14ac:dyDescent="0.25">
      <c r="A9" s="109" t="s">
        <v>58</v>
      </c>
      <c r="B9" s="100"/>
      <c r="C9" s="95" t="s">
        <v>75</v>
      </c>
      <c r="E9" s="109" t="s">
        <v>58</v>
      </c>
      <c r="F9" s="100"/>
      <c r="G9" s="95" t="s">
        <v>75</v>
      </c>
    </row>
    <row r="10" spans="1:7" x14ac:dyDescent="0.25">
      <c r="A10" s="109" t="s">
        <v>51</v>
      </c>
      <c r="B10" s="100"/>
      <c r="C10" s="94">
        <v>0</v>
      </c>
      <c r="E10" s="109" t="s">
        <v>51</v>
      </c>
      <c r="F10" s="100"/>
      <c r="G10" s="94">
        <v>0</v>
      </c>
    </row>
    <row r="11" spans="1:7" x14ac:dyDescent="0.25">
      <c r="A11" s="125" t="s">
        <v>56</v>
      </c>
      <c r="B11" s="126"/>
      <c r="C11" s="96">
        <v>2</v>
      </c>
      <c r="E11" s="125" t="s">
        <v>56</v>
      </c>
      <c r="F11" s="126"/>
      <c r="G11" s="96">
        <v>2</v>
      </c>
    </row>
    <row r="12" spans="1:7" x14ac:dyDescent="0.25">
      <c r="G12" s="97"/>
    </row>
    <row r="13" spans="1:7" x14ac:dyDescent="0.25">
      <c r="A13" s="123" t="s">
        <v>16</v>
      </c>
      <c r="B13" s="124"/>
      <c r="C13" s="63">
        <f>SUM(B15:B25)</f>
        <v>45.931200000000018</v>
      </c>
      <c r="E13" s="123" t="s">
        <v>16</v>
      </c>
      <c r="F13" s="124"/>
      <c r="G13" s="63">
        <f>SUM(F15:F25)</f>
        <v>45.931200000000018</v>
      </c>
    </row>
    <row r="14" spans="1:7" x14ac:dyDescent="0.25">
      <c r="A14" s="118" t="s">
        <v>17</v>
      </c>
      <c r="B14" s="119"/>
      <c r="C14" s="12"/>
      <c r="E14" s="118" t="s">
        <v>17</v>
      </c>
      <c r="F14" s="119"/>
      <c r="G14" s="12"/>
    </row>
    <row r="15" spans="1:7" x14ac:dyDescent="0.25">
      <c r="A15" s="35" t="s">
        <v>21</v>
      </c>
      <c r="B15" s="43">
        <f>IF(C9="yes",0,IF(C9="no-sewer",0,IF(C8="no",'FY21 Declining Data'!H15,'FY21 Declining Data'!H15)))</f>
        <v>15.8</v>
      </c>
      <c r="C15" s="12"/>
      <c r="E15" s="35" t="s">
        <v>21</v>
      </c>
      <c r="F15" s="43">
        <f>IF(G9="yes",0,IF(G9="no-sewer",0,IF(G8="no",'FY21 Inclining Data'!P67,'FY21 Inclining Data'!P67)))</f>
        <v>15.8</v>
      </c>
      <c r="G15" s="12"/>
    </row>
    <row r="16" spans="1:7" x14ac:dyDescent="0.25">
      <c r="A16" s="13" t="s">
        <v>22</v>
      </c>
      <c r="B16" s="44">
        <f>IF(C3=0,0,'FY21 Declining Data'!E19)</f>
        <v>0</v>
      </c>
      <c r="C16" s="12"/>
      <c r="E16" s="13" t="s">
        <v>22</v>
      </c>
      <c r="F16" s="44">
        <f>IF(G3=0,0,IF($G$5="Residential",'FY21 Inclining Data'!D19,IF($G$5="multi-family residential",'FY21 Inclining Data'!K18,IF($G$5="Commercial",'FY21 Inclining Data'!S18,IF($G$5="Governmental",'FY21 Inclining Data'!AA18,IF($G$5="Institutional",'FY21 Inclining Data'!AA18,IF($G$5="Industrial",'FY21 Inclining Data'!AI18)))))))</f>
        <v>0</v>
      </c>
      <c r="G16" s="12"/>
    </row>
    <row r="17" spans="1:8" x14ac:dyDescent="0.25">
      <c r="A17" s="13" t="s">
        <v>19</v>
      </c>
      <c r="B17" s="44">
        <f>IF(C9="yes",0,IF(C9="no- water",0,IF(C8="no",'FY21 Declining Data'!N2,'FY21 Declining Data'!N2)))</f>
        <v>19.100000000000001</v>
      </c>
      <c r="C17" s="12"/>
      <c r="E17" s="13" t="s">
        <v>19</v>
      </c>
      <c r="F17" s="44">
        <f>IF(G9="Yes",0,IF(G9="no- water",0,IF($G$5="Residential",'FY21 Inclining Data'!B40,IF($G$5="multi-family residential",'FY21 Inclining Data'!J40,IF($G$5="Commercial",'FY21 Inclining Data'!R40,IF($G$5="Governmental",'FY21 Inclining Data'!Z40,IF($G$5="Institutional",'FY21 Inclining Data'!Z40,IF($G$5="Industrial",'FY21 Inclining Data'!AH40))))))))</f>
        <v>19.100000000000001</v>
      </c>
      <c r="G17" s="12"/>
    </row>
    <row r="18" spans="1:8" x14ac:dyDescent="0.25">
      <c r="A18" s="13" t="s">
        <v>20</v>
      </c>
      <c r="B18" s="44">
        <f>IF(C4=0,0,IF(C5="industrial",'FY21 Declining Data'!G48,'FY21 Declining Data'!D48))</f>
        <v>0</v>
      </c>
      <c r="C18" s="12"/>
      <c r="E18" s="13" t="s">
        <v>20</v>
      </c>
      <c r="F18" s="44">
        <f>IF(G4=0,0,IF($G$5="Residential",'FY21 Inclining Data'!B45,IF($G$5="multi-family residential",'FY21 Inclining Data'!J45,IF($G$5="Commercial",'FY21 Inclining Data'!R45,IF($G$5="Governmental",'FY21 Inclining Data'!Z45,IF($G$5="Institutional",'FY21 Inclining Data'!Z45,IF($G$5="Industrial",'FY21 Inclining Data'!AH45)))))))</f>
        <v>0</v>
      </c>
      <c r="G18" s="12"/>
    </row>
    <row r="19" spans="1:8" x14ac:dyDescent="0.25">
      <c r="A19" s="61" t="s">
        <v>54</v>
      </c>
      <c r="B19" s="48">
        <f>IF(C8="yes",'FY21 Declining Data'!L17,0)</f>
        <v>0</v>
      </c>
      <c r="C19" s="12"/>
      <c r="D19" s="14"/>
      <c r="E19" s="61" t="s">
        <v>54</v>
      </c>
      <c r="F19" s="44">
        <f>IF($G$5="Residential",'FY21 Inclining Data'!J70,IF($G$5="Multi-Family Residential",'FY21 Inclining Data'!N70,IF($G$5="Commercial",'FY21 Inclining Data'!J70,IF($G$5="Governmental",'FY21 Inclining Data'!N70,IF($G$5="Institutional",'FY21 Inclining Data'!N70,IF($G$5="Industrial",'FY21 Inclining Data'!N70))))))</f>
        <v>0</v>
      </c>
      <c r="G19" s="12"/>
      <c r="H19" s="14"/>
    </row>
    <row r="20" spans="1:8" x14ac:dyDescent="0.25">
      <c r="A20" s="61" t="s">
        <v>55</v>
      </c>
      <c r="B20" s="44">
        <f>IF(C8="yes",'FY21 Declining Data'!N23,0)</f>
        <v>0</v>
      </c>
      <c r="C20" s="12"/>
      <c r="D20" s="14"/>
      <c r="E20" s="61" t="s">
        <v>55</v>
      </c>
      <c r="F20" s="44">
        <f>IF($G$5="Residential",'FY21 Inclining Data'!J78,IF($G$5="Multi-Family Residential",'FY21 Inclining Data'!N78,IF($G$5="Commercial",'FY21 Inclining Data'!J78,IF($G$5="Governmental",'FY21 Inclining Data'!N78,IF($G$5="Institutional",'FY21 Inclining Data'!N78,IF($G$5="Industrial",'FY21 Inclining Data'!N78))))))</f>
        <v>0</v>
      </c>
      <c r="G20" s="12"/>
      <c r="H20" s="14"/>
    </row>
    <row r="21" spans="1:8" x14ac:dyDescent="0.25">
      <c r="A21" s="61" t="s">
        <v>38</v>
      </c>
      <c r="B21" s="44">
        <v>6.13</v>
      </c>
      <c r="C21" s="12"/>
      <c r="D21" s="14"/>
      <c r="E21" s="61" t="s">
        <v>38</v>
      </c>
      <c r="F21" s="44">
        <v>6.13</v>
      </c>
      <c r="G21" s="12"/>
      <c r="H21" s="14"/>
    </row>
    <row r="22" spans="1:8" x14ac:dyDescent="0.25">
      <c r="A22" s="61" t="s">
        <v>39</v>
      </c>
      <c r="B22" s="44">
        <v>0.27</v>
      </c>
      <c r="C22" s="12"/>
      <c r="D22" s="14"/>
      <c r="E22" s="61" t="s">
        <v>39</v>
      </c>
      <c r="F22" s="44">
        <v>0.27</v>
      </c>
      <c r="G22" s="12"/>
      <c r="H22" s="14"/>
    </row>
    <row r="23" spans="1:8" x14ac:dyDescent="0.25">
      <c r="A23" s="61" t="s">
        <v>40</v>
      </c>
      <c r="B23" s="44">
        <f>IF(SUM(B17:B18)&lt;=0,0,0.35)</f>
        <v>0.35</v>
      </c>
      <c r="C23" s="12"/>
      <c r="D23" s="14"/>
      <c r="E23" s="61" t="s">
        <v>40</v>
      </c>
      <c r="F23" s="44">
        <f>IF(SUM(F17:F18)&lt;=0,0,0.35)</f>
        <v>0.35</v>
      </c>
      <c r="G23" s="12"/>
      <c r="H23" s="14"/>
    </row>
    <row r="24" spans="1:8" x14ac:dyDescent="0.25">
      <c r="A24" s="61" t="s">
        <v>41</v>
      </c>
      <c r="B24" s="44">
        <f>IF(SUM(Results!B15:B20)*0.06&gt;'FY21 Declining Data'!L10,'FY21 Declining Data'!L10,SUM(Results!B15:B20)*0.06)</f>
        <v>2.0940000000000003</v>
      </c>
      <c r="C24" s="12"/>
      <c r="D24" s="14"/>
      <c r="E24" s="61" t="s">
        <v>41</v>
      </c>
      <c r="F24" s="44">
        <f>IF(SUM(Results!F15:F20)*0.06&gt;'FY21 Inclining Data'!B55,'FY21 Inclining Data'!B55,SUM(Results!F15:F20)*0.06)</f>
        <v>2.0940000000000003</v>
      </c>
      <c r="G24" s="12"/>
      <c r="H24" s="14"/>
    </row>
    <row r="25" spans="1:8" x14ac:dyDescent="0.25">
      <c r="A25" s="62" t="s">
        <v>42</v>
      </c>
      <c r="B25" s="50">
        <f>SUM(B15:B24)*0.05</f>
        <v>2.1872000000000007</v>
      </c>
      <c r="C25" s="17"/>
      <c r="D25" s="14"/>
      <c r="E25" s="62" t="s">
        <v>42</v>
      </c>
      <c r="F25" s="50">
        <f>SUM(F15:F24)*0.05</f>
        <v>2.1872000000000007</v>
      </c>
      <c r="G25" s="17"/>
      <c r="H25" s="14"/>
    </row>
  </sheetData>
  <protectedRanges>
    <protectedRange sqref="C3:C7" name="FY21 Declining"/>
    <protectedRange sqref="G3:G7" name="FY21 Inclining"/>
    <protectedRange sqref="C8:C11 G8:G11" name="Current Rates"/>
  </protectedRanges>
  <dataConsolidate/>
  <mergeCells count="26">
    <mergeCell ref="A11:B11"/>
    <mergeCell ref="E1:G1"/>
    <mergeCell ref="A1:C1"/>
    <mergeCell ref="A13:B13"/>
    <mergeCell ref="E10:F10"/>
    <mergeCell ref="A8:B8"/>
    <mergeCell ref="A10:B10"/>
    <mergeCell ref="A7:B7"/>
    <mergeCell ref="E9:F9"/>
    <mergeCell ref="A9:B9"/>
    <mergeCell ref="A14:B14"/>
    <mergeCell ref="E2:G2"/>
    <mergeCell ref="E3:F3"/>
    <mergeCell ref="E5:F5"/>
    <mergeCell ref="E6:F6"/>
    <mergeCell ref="E7:F7"/>
    <mergeCell ref="E4:F4"/>
    <mergeCell ref="A4:B4"/>
    <mergeCell ref="E13:F13"/>
    <mergeCell ref="E14:F14"/>
    <mergeCell ref="A2:C2"/>
    <mergeCell ref="A3:B3"/>
    <mergeCell ref="A5:B5"/>
    <mergeCell ref="A6:B6"/>
    <mergeCell ref="E11:F11"/>
    <mergeCell ref="E8:F8"/>
  </mergeCells>
  <dataValidations xWindow="533" yWindow="400" count="6">
    <dataValidation type="list" allowBlank="1" showInputMessage="1" showErrorMessage="1" errorTitle="Invalid Entry" error="Please select if you're inside or outside city limits." promptTitle="Select an option." prompt="Please select if you're inside or outside the city limits." sqref="C7 G7">
      <formula1>"Inside, Outside"</formula1>
    </dataValidation>
    <dataValidation type="list" allowBlank="1" showInputMessage="1" showErrorMessage="1" errorTitle="Invalid Entry" error="Please select from the list." promptTitle="Select an option." prompt="Please select yes or no." sqref="G8 C8">
      <formula1>"Yes, No"</formula1>
    </dataValidation>
    <dataValidation type="list" allowBlank="1" showInputMessage="1" showErrorMessage="1" errorTitle="Invalid Entry" error="Please select from the list." promptTitle="Select an option." prompt="If no, select the option that displays what you do have." sqref="G9">
      <formula1>"_, Yes, No- water &amp; sewer, No- water, no-sewer"</formula1>
    </dataValidation>
    <dataValidation type="list" allowBlank="1" showInputMessage="1" showErrorMessage="1" errorTitle="Invalid Entry" error="Please select an option from the dropdown menu." promptTitle="Type of Customer" prompt="Please select what type of customer you are." sqref="C5">
      <formula1>"Residential, Multi-family Residential, Commercial, Industrial, Governmental, Institutional"</formula1>
    </dataValidation>
    <dataValidation type="list" allowBlank="1" showInputMessage="1" showErrorMessage="1" errorTitle="Invalid Entry" error="Please select an option from the dropdown menu." promptTitle="Type of Customer" prompt="Please select what type of customer you are." sqref="G5">
      <formula1>"Residential, Multi-family Residential, Commercial, Industrial, Governmental, Institutional"</formula1>
    </dataValidation>
    <dataValidation type="list" allowBlank="1" showInputMessage="1" showErrorMessage="1" errorTitle="Invalid Entry" error="Please select from the list." promptTitle="Select an option." prompt="If no, select the option that displays what you do have." sqref="C9">
      <formula1>"_, Yes, No- water &amp; sewer, No- water, no-sewer"</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533" yWindow="400" count="3">
        <x14:dataValidation type="list" allowBlank="1" showInputMessage="1" showErrorMessage="1" errorTitle="Invalid Entry." error="Please select an option from the drop down menu." promptTitle="Select the meter size." prompt="Please select the size of the meter you have.">
          <x14:formula1>
            <xm:f>'FY21 Inclining Data'!$H$51:$H$60</xm:f>
          </x14:formula1>
          <xm:sqref>G6</xm:sqref>
        </x14:dataValidation>
        <x14:dataValidation type="list" allowBlank="1" showInputMessage="1" showErrorMessage="1" errorTitle="Invalid Entry." error="Please select an option from the drop down menu." promptTitle="Select the meter size." prompt="Please select the size of the meter you have.">
          <x14:formula1>
            <xm:f>'FY21 Declining Data'!$A$25:$A$34</xm:f>
          </x14:formula1>
          <xm:sqref>C11 C6</xm:sqref>
        </x14:dataValidation>
        <x14:dataValidation type="list" allowBlank="1" showInputMessage="1" showErrorMessage="1" errorTitle="Invalid Entry." error="Please select an option from the drop down menu." promptTitle="Select the meter size." prompt="Please select the size of the meter you have.">
          <x14:formula1>
            <xm:f>'FY21 Inclining Data'!$H$51:$H$60</xm:f>
          </x14:formula1>
          <xm:sqref>G11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election activeCell="B7" sqref="B7:I7"/>
    </sheetView>
  </sheetViews>
  <sheetFormatPr defaultRowHeight="15" x14ac:dyDescent="0.25"/>
  <cols>
    <col min="1" max="1" width="33.5703125" bestFit="1" customWidth="1"/>
  </cols>
  <sheetData>
    <row r="1" spans="1:9" ht="21" x14ac:dyDescent="0.35">
      <c r="A1" s="134" t="s">
        <v>63</v>
      </c>
      <c r="B1" s="134"/>
      <c r="C1" s="134"/>
      <c r="D1" s="134"/>
      <c r="E1" s="134"/>
      <c r="F1" s="134"/>
      <c r="G1" s="134"/>
      <c r="H1" s="134"/>
      <c r="I1" s="134"/>
    </row>
    <row r="2" spans="1:9" ht="63" customHeight="1" x14ac:dyDescent="0.25">
      <c r="A2" s="133" t="s">
        <v>64</v>
      </c>
      <c r="B2" s="127" t="s">
        <v>69</v>
      </c>
      <c r="C2" s="127"/>
      <c r="D2" s="127"/>
      <c r="E2" s="127"/>
      <c r="F2" s="127"/>
      <c r="G2" s="127"/>
      <c r="H2" s="127"/>
      <c r="I2" s="127"/>
    </row>
    <row r="3" spans="1:9" ht="30" customHeight="1" x14ac:dyDescent="0.25">
      <c r="A3" s="129" t="s">
        <v>65</v>
      </c>
      <c r="B3" s="130" t="s">
        <v>67</v>
      </c>
      <c r="C3" s="130"/>
      <c r="D3" s="130"/>
      <c r="E3" s="130"/>
      <c r="F3" s="130"/>
      <c r="G3" s="130"/>
      <c r="H3" s="130"/>
      <c r="I3" s="130"/>
    </row>
    <row r="4" spans="1:9" ht="30.75" customHeight="1" x14ac:dyDescent="0.25">
      <c r="A4" s="129" t="s">
        <v>66</v>
      </c>
      <c r="B4" s="130" t="s">
        <v>85</v>
      </c>
      <c r="C4" s="130"/>
      <c r="D4" s="130"/>
      <c r="E4" s="130"/>
      <c r="F4" s="130"/>
      <c r="G4" s="130"/>
      <c r="H4" s="130"/>
      <c r="I4" s="130"/>
    </row>
    <row r="5" spans="1:9" ht="30.75" customHeight="1" x14ac:dyDescent="0.25">
      <c r="A5" s="129" t="s">
        <v>68</v>
      </c>
      <c r="B5" s="130" t="s">
        <v>70</v>
      </c>
      <c r="C5" s="130"/>
      <c r="D5" s="130"/>
      <c r="E5" s="130"/>
      <c r="F5" s="130"/>
      <c r="G5" s="130"/>
      <c r="H5" s="130"/>
      <c r="I5" s="130"/>
    </row>
    <row r="6" spans="1:9" ht="30.75" customHeight="1" x14ac:dyDescent="0.25">
      <c r="A6" s="131" t="s">
        <v>71</v>
      </c>
      <c r="B6" s="130" t="s">
        <v>72</v>
      </c>
      <c r="C6" s="130"/>
      <c r="D6" s="130"/>
      <c r="E6" s="130"/>
      <c r="F6" s="130"/>
      <c r="G6" s="130"/>
      <c r="H6" s="130"/>
      <c r="I6" s="130"/>
    </row>
    <row r="7" spans="1:9" ht="59.25" customHeight="1" x14ac:dyDescent="0.25">
      <c r="A7" s="132" t="s">
        <v>73</v>
      </c>
      <c r="B7" s="130" t="s">
        <v>76</v>
      </c>
      <c r="C7" s="130"/>
      <c r="D7" s="130"/>
      <c r="E7" s="130"/>
      <c r="F7" s="130"/>
      <c r="G7" s="130"/>
      <c r="H7" s="130"/>
      <c r="I7" s="130"/>
    </row>
    <row r="8" spans="1:9" ht="44.25" customHeight="1" x14ac:dyDescent="0.25">
      <c r="A8" s="131" t="s">
        <v>77</v>
      </c>
      <c r="B8" s="130" t="s">
        <v>78</v>
      </c>
      <c r="C8" s="130"/>
      <c r="D8" s="130"/>
      <c r="E8" s="130"/>
      <c r="F8" s="130"/>
      <c r="G8" s="130"/>
      <c r="H8" s="130"/>
      <c r="I8" s="130"/>
    </row>
    <row r="11" spans="1:9" ht="21" x14ac:dyDescent="0.35">
      <c r="A11" s="134" t="s">
        <v>79</v>
      </c>
      <c r="B11" s="134"/>
      <c r="C11" s="134"/>
      <c r="D11" s="134"/>
      <c r="E11" s="134"/>
      <c r="F11" s="134"/>
      <c r="G11" s="134"/>
      <c r="H11" s="134"/>
      <c r="I11" s="134"/>
    </row>
    <row r="12" spans="1:9" x14ac:dyDescent="0.25">
      <c r="A12" s="78" t="s">
        <v>80</v>
      </c>
      <c r="B12" s="135" t="s">
        <v>81</v>
      </c>
      <c r="C12" s="135"/>
      <c r="D12" s="135"/>
      <c r="E12" s="135"/>
      <c r="F12" s="135"/>
      <c r="G12" s="135"/>
      <c r="H12" s="135"/>
      <c r="I12" s="135"/>
    </row>
    <row r="13" spans="1:9" x14ac:dyDescent="0.25">
      <c r="A13" s="136" t="e">
        <v>#N/A</v>
      </c>
      <c r="B13" s="128" t="s">
        <v>82</v>
      </c>
      <c r="C13" s="128"/>
      <c r="D13" s="128"/>
      <c r="E13" s="128"/>
      <c r="F13" s="128"/>
      <c r="G13" s="128"/>
      <c r="H13" s="128"/>
      <c r="I13" s="128"/>
    </row>
    <row r="14" spans="1:9" ht="29.25" customHeight="1" x14ac:dyDescent="0.25">
      <c r="A14" s="137"/>
      <c r="B14" s="127"/>
      <c r="C14" s="127"/>
      <c r="D14" s="127"/>
      <c r="E14" s="127"/>
      <c r="F14" s="127"/>
      <c r="G14" s="127"/>
      <c r="H14" s="127"/>
      <c r="I14" s="127"/>
    </row>
    <row r="15" spans="1:9" x14ac:dyDescent="0.25">
      <c r="A15" s="136" t="s">
        <v>83</v>
      </c>
      <c r="B15" s="128" t="s">
        <v>84</v>
      </c>
      <c r="C15" s="128"/>
      <c r="D15" s="128"/>
      <c r="E15" s="128"/>
      <c r="F15" s="128"/>
      <c r="G15" s="128"/>
      <c r="H15" s="128"/>
      <c r="I15" s="128"/>
    </row>
    <row r="16" spans="1:9" ht="30" customHeight="1" x14ac:dyDescent="0.25">
      <c r="A16" s="137"/>
      <c r="B16" s="127"/>
      <c r="C16" s="127"/>
      <c r="D16" s="127"/>
      <c r="E16" s="127"/>
      <c r="F16" s="127"/>
      <c r="G16" s="127"/>
      <c r="H16" s="127"/>
      <c r="I16" s="127"/>
    </row>
  </sheetData>
  <mergeCells count="14">
    <mergeCell ref="B15:I16"/>
    <mergeCell ref="A15:A16"/>
    <mergeCell ref="B8:I8"/>
    <mergeCell ref="A1:I1"/>
    <mergeCell ref="A11:I11"/>
    <mergeCell ref="B12:I12"/>
    <mergeCell ref="B13:I14"/>
    <mergeCell ref="A13:A14"/>
    <mergeCell ref="B2:I2"/>
    <mergeCell ref="B3:I3"/>
    <mergeCell ref="B4:I4"/>
    <mergeCell ref="B5:I5"/>
    <mergeCell ref="B6:I6"/>
    <mergeCell ref="B7:I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FY21 Declining Data</vt:lpstr>
      <vt:lpstr>FY21 Inclining Data</vt:lpstr>
      <vt:lpstr>Results</vt:lpstr>
      <vt:lpstr>Instructions</vt:lpstr>
    </vt:vector>
  </TitlesOfParts>
  <Company>City of Tyler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Samantha L. Cheatwood</dc:creator>
  <cp:lastModifiedBy>Samantha L. Cheatwood</cp:lastModifiedBy>
  <dcterms:created xsi:type="dcterms:W3CDTF">2020-06-17T20:12:49Z</dcterms:created>
  <dcterms:modified xsi:type="dcterms:W3CDTF">2020-09-17T15:14:32Z</dcterms:modified>
</cp:coreProperties>
</file>