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P:\SHARED\Bid Logs\"/>
    </mc:Choice>
  </mc:AlternateContent>
  <xr:revisionPtr revIDLastSave="0" documentId="13_ncr:1_{0800BDB7-D259-4A49-87DF-B1A59F18DDDC}" xr6:coauthVersionLast="47" xr6:coauthVersionMax="47" xr10:uidLastSave="{00000000-0000-0000-0000-000000000000}"/>
  <bookViews>
    <workbookView xWindow="28680" yWindow="-120" windowWidth="29040" windowHeight="15840" xr2:uid="{00000000-000D-0000-FFFF-FFFF00000000}"/>
  </bookViews>
  <sheets>
    <sheet name="2022" sheetId="5" r:id="rId1"/>
    <sheet name="2021" sheetId="1" r:id="rId2"/>
    <sheet name="2020" sheetId="2" r:id="rId3"/>
    <sheet name="2019" sheetId="3" r:id="rId4"/>
    <sheet name="2018" sheetId="4" r:id="rId5"/>
  </sheets>
  <definedNames>
    <definedName name="_Hlk82765913" localSheetId="1">'2021'!#REF!</definedName>
    <definedName name="_xlnm.Print_Area" localSheetId="1">'2021'!$A$9:$X$191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 i="5" l="1"/>
  <c r="P45" i="5" l="1"/>
  <c r="M45" i="5"/>
  <c r="M22" i="5"/>
  <c r="M38" i="5" l="1"/>
  <c r="Q96" i="1"/>
  <c r="Q95" i="1"/>
  <c r="M93" i="1"/>
  <c r="M112" i="1"/>
  <c r="P115" i="1"/>
  <c r="M121" i="5"/>
  <c r="M21" i="5" l="1"/>
  <c r="M17" i="5" l="1"/>
  <c r="M16" i="5"/>
  <c r="M19" i="5" l="1"/>
  <c r="M20" i="5"/>
  <c r="A194" i="5" l="1"/>
  <c r="O191" i="5"/>
  <c r="N191" i="5"/>
  <c r="O190" i="5"/>
  <c r="N190" i="5"/>
  <c r="O189" i="5"/>
  <c r="N189" i="5"/>
  <c r="N192" i="5" s="1"/>
  <c r="N187" i="5"/>
  <c r="A177" i="5"/>
  <c r="Q174" i="5"/>
  <c r="P174" i="5"/>
  <c r="Q173" i="5"/>
  <c r="P173" i="5"/>
  <c r="Q172" i="5"/>
  <c r="Q175" i="5" s="1"/>
  <c r="P172" i="5"/>
  <c r="P170" i="5"/>
  <c r="M170" i="5"/>
  <c r="A159" i="5"/>
  <c r="O156" i="5"/>
  <c r="N156" i="5"/>
  <c r="O155" i="5"/>
  <c r="O157" i="5" s="1"/>
  <c r="N155" i="5"/>
  <c r="O154" i="5"/>
  <c r="N154" i="5"/>
  <c r="N152" i="5"/>
  <c r="A140" i="5"/>
  <c r="P137" i="5"/>
  <c r="O137" i="5"/>
  <c r="P136" i="5"/>
  <c r="O136" i="5"/>
  <c r="P135" i="5"/>
  <c r="O135" i="5"/>
  <c r="O133" i="5"/>
  <c r="M133" i="5"/>
  <c r="A115" i="5"/>
  <c r="Q112" i="5"/>
  <c r="P112" i="5"/>
  <c r="Q111" i="5"/>
  <c r="P111" i="5"/>
  <c r="Q110" i="5"/>
  <c r="P110" i="5"/>
  <c r="P108" i="5"/>
  <c r="M108" i="5"/>
  <c r="M61" i="1"/>
  <c r="O192" i="5" l="1"/>
  <c r="P138" i="5"/>
  <c r="N157" i="5"/>
  <c r="P175" i="5"/>
  <c r="O138" i="5"/>
  <c r="P113" i="5"/>
  <c r="Q113" i="5"/>
  <c r="M85" i="1"/>
  <c r="M90" i="1" l="1"/>
  <c r="M80" i="1"/>
  <c r="M79" i="1" l="1"/>
  <c r="M78" i="1" l="1"/>
  <c r="M72" i="1"/>
  <c r="M87" i="1"/>
  <c r="M86" i="1"/>
  <c r="M71" i="1"/>
  <c r="M66" i="1" l="1"/>
  <c r="M73" i="1" l="1"/>
  <c r="P84" i="1"/>
  <c r="M84" i="1"/>
  <c r="M67" i="1" l="1"/>
  <c r="M145" i="1"/>
  <c r="M62" i="1" l="1"/>
  <c r="P63" i="1" l="1"/>
  <c r="M63" i="1"/>
  <c r="M56" i="1" l="1"/>
  <c r="M58" i="1" l="1"/>
  <c r="M55" i="1" l="1"/>
  <c r="M43" i="1" l="1"/>
  <c r="M107" i="1" l="1"/>
  <c r="M48" i="1" l="1"/>
  <c r="M40" i="1" l="1"/>
  <c r="M51" i="1" l="1"/>
  <c r="M47" i="1"/>
  <c r="M45" i="1" l="1"/>
  <c r="M46" i="1" l="1"/>
  <c r="P192" i="4" l="1"/>
  <c r="O192" i="4"/>
  <c r="P191" i="4"/>
  <c r="P193" i="4" s="1"/>
  <c r="O191" i="4"/>
  <c r="P190" i="4"/>
  <c r="O190" i="4"/>
  <c r="O193" i="4" s="1"/>
  <c r="O188" i="4"/>
  <c r="P174" i="4"/>
  <c r="Q173" i="4"/>
  <c r="P173" i="4"/>
  <c r="Q172" i="4"/>
  <c r="P172" i="4"/>
  <c r="Q171" i="4"/>
  <c r="Q174" i="4" s="1"/>
  <c r="P171" i="4"/>
  <c r="P169" i="4"/>
  <c r="M169" i="4"/>
  <c r="M166" i="4"/>
  <c r="M165" i="4"/>
  <c r="P156" i="4"/>
  <c r="O156" i="4"/>
  <c r="P155" i="4"/>
  <c r="O155" i="4"/>
  <c r="P154" i="4"/>
  <c r="P157" i="4" s="1"/>
  <c r="O154" i="4"/>
  <c r="O157" i="4" s="1"/>
  <c r="O152" i="4"/>
  <c r="L152" i="4"/>
  <c r="Q139" i="4"/>
  <c r="Q138" i="4"/>
  <c r="P138" i="4"/>
  <c r="Q137" i="4"/>
  <c r="P137" i="4"/>
  <c r="P139" i="4" s="1"/>
  <c r="Q136" i="4"/>
  <c r="P136" i="4"/>
  <c r="P134" i="4"/>
  <c r="M131" i="4"/>
  <c r="M130" i="4"/>
  <c r="M129" i="4"/>
  <c r="M128" i="4"/>
  <c r="M127" i="4"/>
  <c r="M126" i="4"/>
  <c r="M125" i="4"/>
  <c r="M123" i="4"/>
  <c r="M121" i="4"/>
  <c r="M120" i="4"/>
  <c r="M119" i="4"/>
  <c r="M118" i="4"/>
  <c r="M117" i="4"/>
  <c r="M116" i="4"/>
  <c r="M114" i="4"/>
  <c r="M113" i="4"/>
  <c r="M134" i="4" s="1"/>
  <c r="Q104" i="4"/>
  <c r="P104" i="4"/>
  <c r="Q103" i="4"/>
  <c r="P103" i="4"/>
  <c r="Q102" i="4"/>
  <c r="Q105" i="4" s="1"/>
  <c r="M97" i="4"/>
  <c r="M95" i="4"/>
  <c r="M94" i="4"/>
  <c r="M93" i="4"/>
  <c r="M90" i="4"/>
  <c r="P87" i="4"/>
  <c r="M87" i="4"/>
  <c r="M84" i="4"/>
  <c r="M80" i="4"/>
  <c r="M79" i="4"/>
  <c r="M78" i="4"/>
  <c r="M77" i="4"/>
  <c r="M76" i="4"/>
  <c r="M75" i="4"/>
  <c r="M65" i="4"/>
  <c r="M64" i="4"/>
  <c r="M63" i="4"/>
  <c r="M60" i="4"/>
  <c r="M57" i="4"/>
  <c r="M56" i="4"/>
  <c r="P55" i="4"/>
  <c r="P102" i="4" s="1"/>
  <c r="P105" i="4" s="1"/>
  <c r="M55" i="4"/>
  <c r="M54" i="4"/>
  <c r="P53" i="4"/>
  <c r="M53" i="4"/>
  <c r="M52" i="4"/>
  <c r="M50" i="4"/>
  <c r="M47" i="4"/>
  <c r="M46" i="4"/>
  <c r="M44" i="4"/>
  <c r="M42" i="4"/>
  <c r="M34" i="4"/>
  <c r="M27" i="4"/>
  <c r="M26" i="4"/>
  <c r="M25" i="4"/>
  <c r="M21" i="4"/>
  <c r="M19" i="4"/>
  <c r="M18" i="4"/>
  <c r="M17" i="4"/>
  <c r="M16" i="4"/>
  <c r="M100" i="4" s="1"/>
  <c r="P100" i="4" l="1"/>
  <c r="N192" i="3" l="1"/>
  <c r="O191" i="3"/>
  <c r="N191" i="3"/>
  <c r="O190" i="3"/>
  <c r="N190" i="3"/>
  <c r="O189" i="3"/>
  <c r="O192" i="3" s="1"/>
  <c r="N189" i="3"/>
  <c r="N187" i="3"/>
  <c r="Q174" i="3"/>
  <c r="P174" i="3"/>
  <c r="Q173" i="3"/>
  <c r="P173" i="3"/>
  <c r="Q172" i="3"/>
  <c r="P172" i="3"/>
  <c r="Q171" i="3"/>
  <c r="P171" i="3"/>
  <c r="P169" i="3"/>
  <c r="M169" i="3"/>
  <c r="M166" i="3"/>
  <c r="M164" i="3"/>
  <c r="M163" i="3"/>
  <c r="O153" i="3"/>
  <c r="N153" i="3"/>
  <c r="N154" i="3" s="1"/>
  <c r="O152" i="3"/>
  <c r="N152" i="3"/>
  <c r="O151" i="3"/>
  <c r="O154" i="3" s="1"/>
  <c r="N151" i="3"/>
  <c r="N149" i="3"/>
  <c r="P131" i="3"/>
  <c r="P132" i="3" s="1"/>
  <c r="O131" i="3"/>
  <c r="P130" i="3"/>
  <c r="O130" i="3"/>
  <c r="P129" i="3"/>
  <c r="O129" i="3"/>
  <c r="O132" i="3" s="1"/>
  <c r="O127" i="3"/>
  <c r="M124" i="3"/>
  <c r="M117" i="3"/>
  <c r="M127" i="3" s="1"/>
  <c r="Q108" i="3"/>
  <c r="P108" i="3"/>
  <c r="Q107" i="3"/>
  <c r="P107" i="3"/>
  <c r="Q106" i="3"/>
  <c r="Q109" i="3" s="1"/>
  <c r="P106" i="3"/>
  <c r="P109" i="3" s="1"/>
  <c r="M99" i="3"/>
  <c r="M93" i="3"/>
  <c r="M91" i="3"/>
  <c r="M90" i="3"/>
  <c r="M89" i="3"/>
  <c r="M88" i="3"/>
  <c r="M86" i="3"/>
  <c r="M85" i="3"/>
  <c r="M84" i="3"/>
  <c r="M83" i="3"/>
  <c r="M82" i="3"/>
  <c r="M80" i="3"/>
  <c r="M79" i="3"/>
  <c r="M78" i="3"/>
  <c r="M77" i="3"/>
  <c r="M76" i="3"/>
  <c r="M75" i="3"/>
  <c r="M74" i="3"/>
  <c r="M73" i="3"/>
  <c r="M72" i="3"/>
  <c r="M67" i="3"/>
  <c r="M59" i="3"/>
  <c r="M58" i="3"/>
  <c r="M55" i="3"/>
  <c r="M53" i="3"/>
  <c r="M52" i="3"/>
  <c r="M46" i="3"/>
  <c r="M45" i="3"/>
  <c r="M42" i="3"/>
  <c r="M41" i="3"/>
  <c r="M40" i="3"/>
  <c r="M39" i="3"/>
  <c r="M38" i="3"/>
  <c r="M37" i="3"/>
  <c r="M36" i="3"/>
  <c r="M35" i="3"/>
  <c r="P34" i="3"/>
  <c r="P104" i="3" s="1"/>
  <c r="M34" i="3"/>
  <c r="M33" i="3"/>
  <c r="M32" i="3"/>
  <c r="M31" i="3"/>
  <c r="M30" i="3"/>
  <c r="M29" i="3"/>
  <c r="M28" i="3"/>
  <c r="M24" i="3"/>
  <c r="M16" i="3"/>
  <c r="M104" i="3" s="1"/>
  <c r="O193" i="2" l="1"/>
  <c r="N193" i="2"/>
  <c r="O192" i="2"/>
  <c r="N192" i="2"/>
  <c r="O191" i="2"/>
  <c r="O194" i="2" s="1"/>
  <c r="N191" i="2"/>
  <c r="N194" i="2" s="1"/>
  <c r="N189" i="2"/>
  <c r="P176" i="2"/>
  <c r="Q175" i="2"/>
  <c r="P175" i="2"/>
  <c r="Q174" i="2"/>
  <c r="P174" i="2"/>
  <c r="Q173" i="2"/>
  <c r="Q176" i="2" s="1"/>
  <c r="P173" i="2"/>
  <c r="P171" i="2"/>
  <c r="M169" i="2"/>
  <c r="M171" i="2" s="1"/>
  <c r="O160" i="2"/>
  <c r="N160" i="2"/>
  <c r="O159" i="2"/>
  <c r="N159" i="2"/>
  <c r="O158" i="2"/>
  <c r="O161" i="2" s="1"/>
  <c r="N158" i="2"/>
  <c r="N161" i="2" s="1"/>
  <c r="N156" i="2"/>
  <c r="P143" i="2"/>
  <c r="O143" i="2"/>
  <c r="P142" i="2"/>
  <c r="O142" i="2"/>
  <c r="O144" i="2" s="1"/>
  <c r="P141" i="2"/>
  <c r="P144" i="2" s="1"/>
  <c r="O141" i="2"/>
  <c r="O139" i="2"/>
  <c r="M136" i="2"/>
  <c r="M135" i="2"/>
  <c r="M134" i="2"/>
  <c r="M133" i="2"/>
  <c r="M131" i="2"/>
  <c r="M139" i="2" s="1"/>
  <c r="P120" i="2"/>
  <c r="Q118" i="2"/>
  <c r="P118" i="2"/>
  <c r="P108" i="2"/>
  <c r="Q120" i="2" s="1"/>
  <c r="M108" i="2"/>
  <c r="P102" i="2"/>
  <c r="M102" i="2"/>
  <c r="M100" i="2"/>
  <c r="M99" i="2"/>
  <c r="M97" i="2"/>
  <c r="P96" i="2"/>
  <c r="M96" i="2"/>
  <c r="P95" i="2"/>
  <c r="M95" i="2"/>
  <c r="M94" i="2"/>
  <c r="P93" i="2"/>
  <c r="M93" i="2"/>
  <c r="P92" i="2"/>
  <c r="M92" i="2"/>
  <c r="P90" i="2"/>
  <c r="M90" i="2"/>
  <c r="M87" i="2"/>
  <c r="M86" i="2"/>
  <c r="M85" i="2"/>
  <c r="M82" i="2"/>
  <c r="M81" i="2"/>
  <c r="M80" i="2"/>
  <c r="M79" i="2"/>
  <c r="P75" i="2"/>
  <c r="M75" i="2"/>
  <c r="M74" i="2"/>
  <c r="M70" i="2"/>
  <c r="P66" i="2"/>
  <c r="P116" i="2" s="1"/>
  <c r="M66" i="2"/>
  <c r="M65" i="2"/>
  <c r="M57" i="2"/>
  <c r="M56" i="2"/>
  <c r="M54" i="2"/>
  <c r="M47" i="2"/>
  <c r="M46" i="2"/>
  <c r="M35" i="2"/>
  <c r="M34" i="2"/>
  <c r="M22" i="2"/>
  <c r="M20" i="2"/>
  <c r="M19" i="2"/>
  <c r="M18" i="2"/>
  <c r="M17" i="2"/>
  <c r="M16" i="2"/>
  <c r="M116" i="2" s="1"/>
  <c r="P119" i="2" l="1"/>
  <c r="P121" i="2" s="1"/>
  <c r="Q119" i="2"/>
  <c r="Q121" i="2" s="1"/>
  <c r="M106" i="1" l="1"/>
  <c r="M41" i="1" l="1"/>
  <c r="P41" i="1"/>
  <c r="M39" i="1" l="1"/>
  <c r="M27" i="1"/>
  <c r="A173" i="1" l="1"/>
  <c r="O170" i="1"/>
  <c r="N170" i="1"/>
  <c r="O169" i="1"/>
  <c r="N169" i="1"/>
  <c r="O168" i="1"/>
  <c r="O171" i="1" s="1"/>
  <c r="N168" i="1"/>
  <c r="N166" i="1"/>
  <c r="A155" i="1"/>
  <c r="Q152" i="1"/>
  <c r="P152" i="1"/>
  <c r="Q151" i="1"/>
  <c r="P151" i="1"/>
  <c r="Q150" i="1"/>
  <c r="P150" i="1"/>
  <c r="P148" i="1"/>
  <c r="M148" i="1"/>
  <c r="A139" i="1"/>
  <c r="O136" i="1"/>
  <c r="N136" i="1"/>
  <c r="O135" i="1"/>
  <c r="N135" i="1"/>
  <c r="O134" i="1"/>
  <c r="N134" i="1"/>
  <c r="N132" i="1"/>
  <c r="A119" i="1"/>
  <c r="P116" i="1"/>
  <c r="O116" i="1"/>
  <c r="O115" i="1"/>
  <c r="P114" i="1"/>
  <c r="O114" i="1"/>
  <c r="O112" i="1"/>
  <c r="A100" i="1"/>
  <c r="Q97" i="1"/>
  <c r="P97" i="1"/>
  <c r="P96" i="1"/>
  <c r="P95" i="1"/>
  <c r="P93" i="1"/>
  <c r="M16" i="1"/>
  <c r="N171" i="1" l="1"/>
  <c r="N137" i="1"/>
  <c r="O137" i="1"/>
  <c r="P153" i="1"/>
  <c r="Q153" i="1"/>
  <c r="P117" i="1"/>
  <c r="O117" i="1"/>
  <c r="Q98" i="1"/>
  <c r="P98" i="1"/>
</calcChain>
</file>

<file path=xl/sharedStrings.xml><?xml version="1.0" encoding="utf-8"?>
<sst xmlns="http://schemas.openxmlformats.org/spreadsheetml/2006/main" count="7148" uniqueCount="2672">
  <si>
    <t>BID</t>
  </si>
  <si>
    <t>DESCRIPTION</t>
  </si>
  <si>
    <t>ADVERTISEMENT</t>
  </si>
  <si>
    <t>CLOSING</t>
  </si>
  <si>
    <t>AWARD</t>
  </si>
  <si>
    <t>NO.</t>
  </si>
  <si>
    <t>DATE</t>
  </si>
  <si>
    <t>DATES</t>
  </si>
  <si>
    <t xml:space="preserve"> </t>
  </si>
  <si>
    <t>AMOUNT</t>
  </si>
  <si>
    <t>OPENING/</t>
  </si>
  <si>
    <t>CSP</t>
  </si>
  <si>
    <t>RFQL</t>
  </si>
  <si>
    <t>RECEIVED</t>
  </si>
  <si>
    <t>AWARDED VENDOR 1</t>
  </si>
  <si>
    <t>AWARDED VENDOR 2</t>
  </si>
  <si>
    <t>AWARDED VENDOR 3</t>
  </si>
  <si>
    <t>RFP</t>
  </si>
  <si>
    <t>RFI</t>
  </si>
  <si>
    <t>POSTED</t>
  </si>
  <si>
    <t>ON</t>
  </si>
  <si>
    <t>POSTED ON</t>
  </si>
  <si>
    <t>Goods</t>
  </si>
  <si>
    <t>Services</t>
  </si>
  <si>
    <t>Construction</t>
  </si>
  <si>
    <t>Total Bids Received</t>
  </si>
  <si>
    <t>CONTRACT</t>
  </si>
  <si>
    <t>TYPE</t>
  </si>
  <si>
    <t>BIDSYNC</t>
  </si>
  <si>
    <t>REQUEST FOR INFORMATION</t>
  </si>
  <si>
    <t>REQUEST FOR QUALIFICATIONS</t>
  </si>
  <si>
    <t>REQUEST FOR PROPOSALS</t>
  </si>
  <si>
    <t>NON-COUNCIL BIDS</t>
  </si>
  <si>
    <t>COUNCIL BIDS</t>
  </si>
  <si>
    <t>Total CSPs Received</t>
  </si>
  <si>
    <t>Total RFPs Received</t>
  </si>
  <si>
    <t>TABULATION</t>
  </si>
  <si>
    <t>INTENT</t>
  </si>
  <si>
    <t>TO</t>
  </si>
  <si>
    <t>INITIATION</t>
  </si>
  <si>
    <t>DOCUMENT</t>
  </si>
  <si>
    <t>ADDENDUM</t>
  </si>
  <si>
    <t>NO. 1</t>
  </si>
  <si>
    <t>NO. 2</t>
  </si>
  <si>
    <t>NO. 3</t>
  </si>
  <si>
    <t>NO. 4</t>
  </si>
  <si>
    <t>Total Awards</t>
  </si>
  <si>
    <t># OF</t>
  </si>
  <si>
    <t>RESPONSES</t>
  </si>
  <si>
    <t>PROPOSALS</t>
  </si>
  <si>
    <t>BIDS</t>
  </si>
  <si>
    <t>OPENING</t>
  </si>
  <si>
    <t>$$ AMOUNT OF</t>
  </si>
  <si>
    <t>$$ AMOUNT</t>
  </si>
  <si>
    <t>OF BIDS</t>
  </si>
  <si>
    <t>Non-Council Bids</t>
  </si>
  <si>
    <t>Council Bids</t>
  </si>
  <si>
    <t>Requests for Proposals</t>
  </si>
  <si>
    <t>Competitive Sealed Proposals</t>
  </si>
  <si>
    <t>COMPETITIVE SEALED PROPOSALS</t>
  </si>
  <si>
    <t>Request for Qualifications</t>
  </si>
  <si>
    <t>Request for Information</t>
  </si>
  <si>
    <t>Return to Top of Document</t>
  </si>
  <si>
    <t>Jump to:</t>
  </si>
  <si>
    <t>DOCUMENT*</t>
  </si>
  <si>
    <t>NOTES**</t>
  </si>
  <si>
    <t xml:space="preserve">** The Interlocal Cooperation Act, Chapter 791 of the Government Code and Local Government Code, Chapter 271 authorizes local governments to enter into interlocal agreements with other governmental jurisdictions including all states within the United States, independent school districts, counties, councils of governments, and non-profit corporations created to provide various governmental functions/services (such as cooperative purchasing, planning, pubic heath, etc.).  Furthermore, LGC Chapter 271, Subchapter D provides for the extension of the state contract/prices/bids to participating local governments.  The City of Richardson has many existing interlocal agreements with various cities throughout the state for cooperative purchasing, which means we may piggyback off of each other's competitively bid contracts (DIR, HGAC, BuyBoard, etc).  Cooperative purchasing saves time and effort over competitively bidding our own items and allows us to combine our purchasing power to achieve lower prices on various goods and services. </t>
  </si>
  <si>
    <t>*  Bid documents are informational only.  Vendors interested in responding to a current Bid, CSP, RFP, etc. should obtain the most current documents through BidSync.com.</t>
  </si>
  <si>
    <t>$</t>
  </si>
  <si>
    <t>Count</t>
  </si>
  <si>
    <t>AWARDED VENDOR 4</t>
  </si>
  <si>
    <t>RFQ</t>
  </si>
  <si>
    <t>Yes</t>
  </si>
  <si>
    <t>N/A</t>
  </si>
  <si>
    <t>01-21</t>
  </si>
  <si>
    <t>Holly Elevated Water Storage Tank Rehabilitation</t>
  </si>
  <si>
    <t>FISCAL YEAR 2020-2021</t>
  </si>
  <si>
    <t>1001-21</t>
  </si>
  <si>
    <t>2021-01</t>
  </si>
  <si>
    <t>901-21</t>
  </si>
  <si>
    <t>701-21</t>
  </si>
  <si>
    <t>Stop Loss</t>
  </si>
  <si>
    <t>501-21</t>
  </si>
  <si>
    <t>9/10/20 &amp; 9/17/20</t>
  </si>
  <si>
    <t>9/29/20 &amp; 10/6/20</t>
  </si>
  <si>
    <t>02-21</t>
  </si>
  <si>
    <t>-</t>
  </si>
  <si>
    <t>No</t>
  </si>
  <si>
    <t>BuyBoard 601-19</t>
  </si>
  <si>
    <t>03-21</t>
  </si>
  <si>
    <t>BuyBoard 599-19</t>
  </si>
  <si>
    <t>04-21</t>
  </si>
  <si>
    <t>05-21</t>
  </si>
  <si>
    <t>Sourcewell 091219-NWY</t>
  </si>
  <si>
    <t>06-21</t>
  </si>
  <si>
    <t>TIPS 200703</t>
  </si>
  <si>
    <t>07-21</t>
  </si>
  <si>
    <t>08-21</t>
  </si>
  <si>
    <t>TIPS 200206</t>
  </si>
  <si>
    <t>TIPS 200802</t>
  </si>
  <si>
    <t>09-21</t>
  </si>
  <si>
    <t>Co-Op Purchase of Fitness Equipment for Huffhines Recreation Center through BuyBoard</t>
  </si>
  <si>
    <t>BuyBoard 583-19</t>
  </si>
  <si>
    <t>Co-Op Purchase of One (1) Crane Carrier Low Entry Tilt 2 (LET2) Cab/Over Chassis for Solid Waste through BuyBoard</t>
  </si>
  <si>
    <t>Co-Op Purchase of One (1) Isuzu FTR Cab/Over Chassis with New Way 11-yard Narrow Cobra Rear Loader Refuse Body for Solid Waste through Sourcewell</t>
  </si>
  <si>
    <t>Co-Op Purchase of One (1) Freightliner Conventional Cab/Chassis equipped with an HD Industries TCM 425-80 DHER2A Pothole Patcher for Streets through TIPS</t>
  </si>
  <si>
    <t>Co-Op Purchase of One (1) Labrie, Leach/Alpha 16-yard Rear Loader Body for Solid Waste through BuyBoard</t>
  </si>
  <si>
    <t>Co-Op Purchase of Two (2) Ford F-750 Cab/Chassis with 45-yard Custom Fixed Container/Builtrite 26’ Knuckleboom with 42” Grapple Refuse Trucks for BABIC through BuyBoard</t>
  </si>
  <si>
    <t>Co-Op Puchase of One (1) Mack Granite Conventional Cab/Chassis equipped with a Galbreath U75-OR-174 Roll-off Hoist for BABIC through TIPS</t>
  </si>
  <si>
    <t>Co-Op A/R/C Temporary Employment Services for Solid Waste through TIPS</t>
  </si>
  <si>
    <t>10-21</t>
  </si>
  <si>
    <t>Co-Op Purchase of One (1) Ford E-350 Champion Challenger Shuttle Bus for the Senior Center through State of Georgia</t>
  </si>
  <si>
    <t>State of Georgia 99999-001-SPD0000138</t>
  </si>
  <si>
    <t>Rush Truck Centers of Texas, LP</t>
  </si>
  <si>
    <t>Reliance Truck &amp; Equipment Company, Inc.</t>
  </si>
  <si>
    <t>Bond Equipment Company, Inc.</t>
  </si>
  <si>
    <t>Dickson Equipment Company, Inc.</t>
  </si>
  <si>
    <t>RPM Staffing Professionals, Inc.</t>
  </si>
  <si>
    <t>Freightliner of Austin</t>
  </si>
  <si>
    <t>East Texas Mack Sales, LLC</t>
  </si>
  <si>
    <t>Marathon Fitness</t>
  </si>
  <si>
    <t>I 01-21</t>
  </si>
  <si>
    <t>B 01-21</t>
  </si>
  <si>
    <t>AW 02-21</t>
  </si>
  <si>
    <t>AW 03-21</t>
  </si>
  <si>
    <t>AW 04-21</t>
  </si>
  <si>
    <t>AW 05-21</t>
  </si>
  <si>
    <t>AW 06-21</t>
  </si>
  <si>
    <t>AW 07-21</t>
  </si>
  <si>
    <t>AW 08-21</t>
  </si>
  <si>
    <t>AW 09-21</t>
  </si>
  <si>
    <t>B 701-21</t>
  </si>
  <si>
    <t>A 701-21</t>
  </si>
  <si>
    <t>A2 701-21</t>
  </si>
  <si>
    <t>T 01-21</t>
  </si>
  <si>
    <t>11-21</t>
  </si>
  <si>
    <t>Chassis Mounted Right of Way/Large Turf Sprayer</t>
  </si>
  <si>
    <t>12-21</t>
  </si>
  <si>
    <t>Northside Pump Station and Eastside Pump Station No. 2 Electrical Rehabilitation</t>
  </si>
  <si>
    <t>13-21</t>
  </si>
  <si>
    <t>BuyBoard 611-20</t>
  </si>
  <si>
    <t>14-21</t>
  </si>
  <si>
    <t>Co-Op Purchase of Hardware and Software for Public Safety through TIPS</t>
  </si>
  <si>
    <t>TIPS 200203</t>
  </si>
  <si>
    <t>15-21</t>
  </si>
  <si>
    <t>A/R/C Umpires and Sports Officials</t>
  </si>
  <si>
    <t>16-21</t>
  </si>
  <si>
    <t>Co-Op Purcase of Eight (8) Trucks for Various City Departments through BuyBoard</t>
  </si>
  <si>
    <t>Professional Turf Products</t>
  </si>
  <si>
    <t>Co-Op Purchase of Greens Mower, Aerator, Rough Mower, and Trap Rake for Sherrill Park Golf Course through BuyBoard</t>
  </si>
  <si>
    <t>Computer Information Systems</t>
  </si>
  <si>
    <t>Viking Industrial Painting, LLC</t>
  </si>
  <si>
    <t>11/9/20 &amp; 11/16/20</t>
  </si>
  <si>
    <t>17-21</t>
  </si>
  <si>
    <t>AW 01-21</t>
  </si>
  <si>
    <t>AW 13-21</t>
  </si>
  <si>
    <t>AW 14-21</t>
  </si>
  <si>
    <t>B 11-21</t>
  </si>
  <si>
    <t>B 15-21</t>
  </si>
  <si>
    <t>Co-Op A/R/C Vehicle Parts, Supplies, Equipment, and Affiliated Services through TIPS</t>
  </si>
  <si>
    <t>TIPS 180603</t>
  </si>
  <si>
    <t>O'Reilly Auto Parts</t>
  </si>
  <si>
    <t>Alliance Bus Group, Inc.</t>
  </si>
  <si>
    <t>18-21</t>
  </si>
  <si>
    <t>North Richland Hills 20-026</t>
  </si>
  <si>
    <t>19-21</t>
  </si>
  <si>
    <t>Co-Op A/R/C Personal Protective Equipment for Fire Department through City of North Richland Hills</t>
  </si>
  <si>
    <t>Grand Prairie 6533</t>
  </si>
  <si>
    <t>AW 10-21</t>
  </si>
  <si>
    <t>AW 16-21</t>
  </si>
  <si>
    <t>AW 17-21</t>
  </si>
  <si>
    <t>20-21</t>
  </si>
  <si>
    <t>Co-Op Purchase of Seven (7) Chevrolet Tahoes for Police Department through Sheriffs' Association of Texas</t>
  </si>
  <si>
    <t>Sheriffs' Association of Texas 21-02-1016</t>
  </si>
  <si>
    <t>21-21</t>
  </si>
  <si>
    <t>22-21</t>
  </si>
  <si>
    <t>23-21</t>
  </si>
  <si>
    <t>A/R/C Electrical Services</t>
  </si>
  <si>
    <t>24-21</t>
  </si>
  <si>
    <t>11/23/20, 11/30/20, &amp; 12/7/20</t>
  </si>
  <si>
    <t>25-21</t>
  </si>
  <si>
    <t>N. Plano Road at Duck Creek - Northbound (East) Bridge Rail Improvements</t>
  </si>
  <si>
    <t>Co-Op A/R/C Joint and Crack Sealing Services through City of Grand Prairie</t>
  </si>
  <si>
    <t>Co-Op Purchase of Three (3) Ford Interceptors for Police Department through BuyBoard</t>
  </si>
  <si>
    <t>I 12-21</t>
  </si>
  <si>
    <t>A/R/C Small Lawn Equipment Repair and Parts</t>
  </si>
  <si>
    <t>11/23/20 &amp; 11/30/20</t>
  </si>
  <si>
    <t>T 11-21</t>
  </si>
  <si>
    <t>B 12-21</t>
  </si>
  <si>
    <t>B 24-21</t>
  </si>
  <si>
    <t>B 501-21</t>
  </si>
  <si>
    <t>26-21</t>
  </si>
  <si>
    <t>12/7/20 &amp; 12/14/20</t>
  </si>
  <si>
    <t>IVM Solutions DBA Roadside, Inc.</t>
  </si>
  <si>
    <t>Casco Industries, Inc.</t>
  </si>
  <si>
    <t>Curtco, Inc.</t>
  </si>
  <si>
    <t>Reliable Chevrolet</t>
  </si>
  <si>
    <t>A 1-21</t>
  </si>
  <si>
    <t>A 12-21</t>
  </si>
  <si>
    <t>A2 12-21</t>
  </si>
  <si>
    <t>A3 12-21</t>
  </si>
  <si>
    <t>AW 11-21</t>
  </si>
  <si>
    <t>AW 18-21</t>
  </si>
  <si>
    <t>AW 19-21</t>
  </si>
  <si>
    <t>AW 20-21</t>
  </si>
  <si>
    <t>AW 21-21</t>
  </si>
  <si>
    <t>AW 22-21</t>
  </si>
  <si>
    <t>AW 23-21</t>
  </si>
  <si>
    <t>B 26-21</t>
  </si>
  <si>
    <t>T 12-21</t>
  </si>
  <si>
    <t>T 24-21</t>
  </si>
  <si>
    <t>27-21</t>
  </si>
  <si>
    <t>Co-Op Purchase and Installation of Senior Recreation Center Furniture and Fixtures through OMNIA Partners, NCPA, and BuyBoard</t>
  </si>
  <si>
    <t>Various Contracts through OMNIA Partners, NCPA, and BuyBoard</t>
  </si>
  <si>
    <t>Business Interiors</t>
  </si>
  <si>
    <t>502-21</t>
  </si>
  <si>
    <t>28-21</t>
  </si>
  <si>
    <t>Scottsdale Drive Street &amp; Utility Reconstruction</t>
  </si>
  <si>
    <t>29-21</t>
  </si>
  <si>
    <t>30-21</t>
  </si>
  <si>
    <t>31-21</t>
  </si>
  <si>
    <t>A/R/C Irrigation Supplies</t>
  </si>
  <si>
    <t>32-21</t>
  </si>
  <si>
    <t xml:space="preserve">A/R/C Establishing and Maintaining Athletic Field Markings </t>
  </si>
  <si>
    <t>33-21</t>
  </si>
  <si>
    <t>2015 Residential Sidewalk Replacement Program - Region 5 and Region 4 Completion</t>
  </si>
  <si>
    <t>2021 Screening Wall Repair/Reconstruction Project</t>
  </si>
  <si>
    <t>1/28/21, 2/4/21, 2/11/21</t>
  </si>
  <si>
    <t>Richardson Umpire Association</t>
  </si>
  <si>
    <t>TJ Sports</t>
  </si>
  <si>
    <t>Boyd Operating Company, LLC</t>
  </si>
  <si>
    <t>1/21/21 &amp; 1/28/21</t>
  </si>
  <si>
    <t>1/26/21 &amp; 2/2/21</t>
  </si>
  <si>
    <t>2/1/21, 2/8/21, 2/15/21</t>
  </si>
  <si>
    <t>B 31-21</t>
  </si>
  <si>
    <t>B 32-21</t>
  </si>
  <si>
    <t>B 502-21</t>
  </si>
  <si>
    <t>I 29-21</t>
  </si>
  <si>
    <t>T 26-21</t>
  </si>
  <si>
    <t>AW 24-21</t>
  </si>
  <si>
    <t>AW 26-21</t>
  </si>
  <si>
    <t>AW 27-21</t>
  </si>
  <si>
    <t>FISCAL YEAR 2019-2020</t>
  </si>
  <si>
    <t>01-20</t>
  </si>
  <si>
    <t>Northside 1.0 MG Elevated Storage Tank</t>
  </si>
  <si>
    <t>I 01-20</t>
  </si>
  <si>
    <t>10/25/19 &amp; 11/1/19</t>
  </si>
  <si>
    <t>B 01-20</t>
  </si>
  <si>
    <t>A 01-20</t>
  </si>
  <si>
    <t>A2 01-20</t>
  </si>
  <si>
    <t>T 01-20</t>
  </si>
  <si>
    <t>AW 01-20</t>
  </si>
  <si>
    <t>Landmark Structures I, LP</t>
  </si>
  <si>
    <t>02-20</t>
  </si>
  <si>
    <t>A/R/C Banners and Signs</t>
  </si>
  <si>
    <t>9/3/19 &amp; 9/10/19</t>
  </si>
  <si>
    <t>B 02-20</t>
  </si>
  <si>
    <t>T 02-20</t>
  </si>
  <si>
    <t>AW 02-20</t>
  </si>
  <si>
    <t>SpeedPro Imaging Richardson</t>
  </si>
  <si>
    <t>03-20</t>
  </si>
  <si>
    <t>A/R/C Utility Repair and Replacement</t>
  </si>
  <si>
    <t>9/18/19 &amp; 9/25/19</t>
  </si>
  <si>
    <t>B 03-20</t>
  </si>
  <si>
    <t>T 03-20</t>
  </si>
  <si>
    <t>04-20</t>
  </si>
  <si>
    <t>2015 Residential Sidewalk Replacement Program Region 4</t>
  </si>
  <si>
    <t>I 04-20</t>
  </si>
  <si>
    <t>1/14/20 &amp; 1/21/20</t>
  </si>
  <si>
    <t>B 04-20</t>
  </si>
  <si>
    <t>A 04-20</t>
  </si>
  <si>
    <t>T 04-20</t>
  </si>
  <si>
    <t>AW 04-20</t>
  </si>
  <si>
    <t>Estrada Concrete Company</t>
  </si>
  <si>
    <t>05-20</t>
  </si>
  <si>
    <t>A/R/C Street Sweeping Services</t>
  </si>
  <si>
    <t>9/27/19 &amp; 10/4/19</t>
  </si>
  <si>
    <t>B 05-20</t>
  </si>
  <si>
    <t>A 05-20</t>
  </si>
  <si>
    <t>T 05-20</t>
  </si>
  <si>
    <t>AW 05-20</t>
  </si>
  <si>
    <t>Sweeping Services of Texas</t>
  </si>
  <si>
    <t>06-20</t>
  </si>
  <si>
    <t>Co-Op Canyon Creek Pool Resurfacing through BuyBoard</t>
  </si>
  <si>
    <t>AW 06-20</t>
  </si>
  <si>
    <t>Sunbelt Pools</t>
  </si>
  <si>
    <t>BuyBoard 533-17</t>
  </si>
  <si>
    <t>07-20</t>
  </si>
  <si>
    <t>Campbell Road Improvements from Collins to US 75</t>
  </si>
  <si>
    <t>I 07-20</t>
  </si>
  <si>
    <t>10/11, 10/18, 10/25/19</t>
  </si>
  <si>
    <t>B 07-20</t>
  </si>
  <si>
    <t>A 07-20</t>
  </si>
  <si>
    <t>A2 07-20</t>
  </si>
  <si>
    <t>T 07-20</t>
  </si>
  <si>
    <t>08-20</t>
  </si>
  <si>
    <t>Co-Op A/R/C Meter Change Out Services through City of Garland</t>
  </si>
  <si>
    <t>AW 08-20</t>
  </si>
  <si>
    <t>Compass Metering Solutions</t>
  </si>
  <si>
    <t>City of Garland 0912-19</t>
  </si>
  <si>
    <t>09-20</t>
  </si>
  <si>
    <t>Co-Op A/R/C Radio Antennas Installation and Annual Inspection, Maintenance, and Repair Services through City of Frisco</t>
  </si>
  <si>
    <t>AW 09-20</t>
  </si>
  <si>
    <t>Larson Associates USA, Inc.</t>
  </si>
  <si>
    <t>City of Frisco 1507-086</t>
  </si>
  <si>
    <t>10-20</t>
  </si>
  <si>
    <t>Co-Op Purchase of MICU through HGAC</t>
  </si>
  <si>
    <t>AW 10-20</t>
  </si>
  <si>
    <t>Mac Haik Dodge Chrysler Jeep</t>
  </si>
  <si>
    <t>HGAC AM10-16</t>
  </si>
  <si>
    <t>11-20</t>
  </si>
  <si>
    <t>Co-Op Purchase of Brush Chipper through BuyBoard</t>
  </si>
  <si>
    <t>AW 11-20</t>
  </si>
  <si>
    <t>Vermeer Equipment of Texas</t>
  </si>
  <si>
    <t>BuyBoard 515-16</t>
  </si>
  <si>
    <t>12-20</t>
  </si>
  <si>
    <t>Co-Op Purchase of Two (2) Hi-Speed Mowers and One (1) Zero-Turning-Radius Mower through BuyBoard</t>
  </si>
  <si>
    <t>AW 12-20</t>
  </si>
  <si>
    <t>BuyBoard 529-17</t>
  </si>
  <si>
    <t>13-20</t>
  </si>
  <si>
    <t>Co-Op Purchase of Isuzu Cabover Chassis with Pipe Hunter Sewer Jet Rodder Machine through BuyBoard</t>
  </si>
  <si>
    <t>AW 13-20</t>
  </si>
  <si>
    <t>BuyBoard 521-16</t>
  </si>
  <si>
    <t>14-20</t>
  </si>
  <si>
    <t>Co-Op Purchase of Three (3) Ford Pursuit Rated Interceptors through State of Texas</t>
  </si>
  <si>
    <t>AW 14-20</t>
  </si>
  <si>
    <t>Sam Pack's Five Star Ford</t>
  </si>
  <si>
    <t>State of Texas 070-A1</t>
  </si>
  <si>
    <t>15-20</t>
  </si>
  <si>
    <t>Co-Op Purchase of Ford F-550 Cab/Chassis with Articulating Telescoping 35' Aerial Device through TXMAS</t>
  </si>
  <si>
    <t>AW 15-20</t>
  </si>
  <si>
    <t>Altec Industries, Inc.</t>
  </si>
  <si>
    <t>TXMAS 19-23V03</t>
  </si>
  <si>
    <t>16-20</t>
  </si>
  <si>
    <t>Co-Op Purchase of E-ONE Pumper Apparatus through HGAC</t>
  </si>
  <si>
    <t>AW 16-20</t>
  </si>
  <si>
    <t>Lone Star Emergency Group</t>
  </si>
  <si>
    <t>HGAC FS12-17</t>
  </si>
  <si>
    <t>17-20</t>
  </si>
  <si>
    <t>Co-Op Purchase of Articulated Wheel Loader through BuyBoard</t>
  </si>
  <si>
    <t>AW 17-20</t>
  </si>
  <si>
    <t>Associated Supply Company, Inc.</t>
  </si>
  <si>
    <t>18-20</t>
  </si>
  <si>
    <t>Co-Op Purchase of Conventional Cab Chassis with Roll-off Hoist Body through TIPS</t>
  </si>
  <si>
    <t>AW 18-20</t>
  </si>
  <si>
    <t>East Texas Mack Sales LLC</t>
  </si>
  <si>
    <t>TIPS 170802</t>
  </si>
  <si>
    <t>19-20</t>
  </si>
  <si>
    <t>A/R/C Traffic Signs and Materials</t>
  </si>
  <si>
    <t>10/31/19 &amp; 11/7/19</t>
  </si>
  <si>
    <t>B 19-20</t>
  </si>
  <si>
    <t>T 19-20</t>
  </si>
  <si>
    <t>AW 19-20</t>
  </si>
  <si>
    <t>Osburn Associates, Inc.</t>
  </si>
  <si>
    <t>20-20</t>
  </si>
  <si>
    <t>Breckinridge Park Trail Connections</t>
  </si>
  <si>
    <t>I 20-20</t>
  </si>
  <si>
    <t>11/5/19 &amp; 11/12//19</t>
  </si>
  <si>
    <t>B 20-20</t>
  </si>
  <si>
    <t>A 20-20</t>
  </si>
  <si>
    <t>T 20-20</t>
  </si>
  <si>
    <t>AW 20-20</t>
  </si>
  <si>
    <t>North Rock Construction, LLC</t>
  </si>
  <si>
    <t>21-20</t>
  </si>
  <si>
    <t>Co-Op Purchase of Four (4) Dodge Charger Police Pursuit Vehicles through State of Texas</t>
  </si>
  <si>
    <t>AW 21-20</t>
  </si>
  <si>
    <t>Chrysler Jeep Dodge City of McKinney</t>
  </si>
  <si>
    <t>22-20</t>
  </si>
  <si>
    <t>Co-Op Purchase of Firewalls for City Network through DIR</t>
  </si>
  <si>
    <t>AW 22-20</t>
  </si>
  <si>
    <t>General Datatech, L.P.</t>
  </si>
  <si>
    <t>DIR-TSO-4288</t>
  </si>
  <si>
    <t>23-20</t>
  </si>
  <si>
    <t>Co-Op Purchase of Golf Capital Equipment through BuyBoard</t>
  </si>
  <si>
    <t>AW 23-20</t>
  </si>
  <si>
    <t>24-20</t>
  </si>
  <si>
    <t>Co-Op Purchase of Brazos eCitation Software through Sourewell</t>
  </si>
  <si>
    <t>AW 24-20</t>
  </si>
  <si>
    <t>Tyler Technologies</t>
  </si>
  <si>
    <t>Sourcewell 110515-TTI</t>
  </si>
  <si>
    <t>25-20</t>
  </si>
  <si>
    <t>Co-Op JOC for Parks Restrooms Renovations through BuyBoard</t>
  </si>
  <si>
    <t>AW 25-20</t>
  </si>
  <si>
    <t>SDB, Inc.</t>
  </si>
  <si>
    <t>BuyBoard 581-19 (JOC)</t>
  </si>
  <si>
    <t>26-20</t>
  </si>
  <si>
    <t>Co-Op JOC for Backstop and Tennis Court Fence Replacements through TIPS</t>
  </si>
  <si>
    <t>AW 26-20</t>
  </si>
  <si>
    <t>Viking Fence Company</t>
  </si>
  <si>
    <t>TIPS 190201 (JOC)</t>
  </si>
  <si>
    <t>27-20</t>
  </si>
  <si>
    <t>Co-Op JOC for Woman's Club Ramp Redevelopment through TIPS</t>
  </si>
  <si>
    <t>AW 27-20</t>
  </si>
  <si>
    <t>CORE Construction, Inc.</t>
  </si>
  <si>
    <t>28-20</t>
  </si>
  <si>
    <t>A/R/C Medical Supplies and Pharmaceuticals</t>
  </si>
  <si>
    <t>12/11/19 &amp; 12/18/19</t>
  </si>
  <si>
    <t>B 28-20</t>
  </si>
  <si>
    <t>A 28-20</t>
  </si>
  <si>
    <t>A2 28-20</t>
  </si>
  <si>
    <t>A3 28-20</t>
  </si>
  <si>
    <t>A4 28-20</t>
  </si>
  <si>
    <t>T 28-20</t>
  </si>
  <si>
    <t>AW 28-20</t>
  </si>
  <si>
    <t>Bound Tree Medical</t>
  </si>
  <si>
    <t>29-20</t>
  </si>
  <si>
    <t>Co-Op Purchase of Capital Equipment for Police and Emergency Management through BuyBoard</t>
  </si>
  <si>
    <t>AW 29-20</t>
  </si>
  <si>
    <t>G.T. Distributors, Inc.</t>
  </si>
  <si>
    <t>BuyBoard 524-17</t>
  </si>
  <si>
    <t>30-20</t>
  </si>
  <si>
    <t>Co-Op Purchase of Four (4) Chevrolet Tahoe Police Pursuit Vehicles through Sheriffs' Association of Texas</t>
  </si>
  <si>
    <t>AW 30-20</t>
  </si>
  <si>
    <t>Sheriffs' Association of Texas 20-01-1017</t>
  </si>
  <si>
    <t>31-20</t>
  </si>
  <si>
    <t>Cliffside Alley Drainage Improvement Project</t>
  </si>
  <si>
    <t>I 31-20</t>
  </si>
  <si>
    <t>B 31-20</t>
  </si>
  <si>
    <t>A 31-20</t>
  </si>
  <si>
    <t>T 31-20</t>
  </si>
  <si>
    <t>AW 31-20</t>
  </si>
  <si>
    <t>Advance Contracting Group</t>
  </si>
  <si>
    <t>32-20</t>
  </si>
  <si>
    <t>I 32-20</t>
  </si>
  <si>
    <t>1/7/20, 1/14/20, &amp; 1/21/20</t>
  </si>
  <si>
    <t>B 32-20</t>
  </si>
  <si>
    <t>A 32-20</t>
  </si>
  <si>
    <t>A2 32-20</t>
  </si>
  <si>
    <t>T 32-20</t>
  </si>
  <si>
    <t>AW 32-20</t>
  </si>
  <si>
    <t>Quality Excavation</t>
  </si>
  <si>
    <t>Re-bid 07-20</t>
  </si>
  <si>
    <t>33-20</t>
  </si>
  <si>
    <t>Co-Op Purchase of Duck Creek Linear Park Playground Replacement through BuyBoard</t>
  </si>
  <si>
    <t>AW 33-20</t>
  </si>
  <si>
    <t>Kompan, Inc.</t>
  </si>
  <si>
    <t>BuyBoard 592-19</t>
  </si>
  <si>
    <t>34-20</t>
  </si>
  <si>
    <t>Co-Op Purchase of Various Vehicles for City Departments through BuyBoard</t>
  </si>
  <si>
    <t>AW 34-20</t>
  </si>
  <si>
    <t>Rush Truck Center</t>
  </si>
  <si>
    <t>35-20</t>
  </si>
  <si>
    <t>Co-Op Purchase of Fleet Fuel Management System through Sourcewell</t>
  </si>
  <si>
    <t>AW 35-20</t>
  </si>
  <si>
    <t>Reeder Distributors, Inc.</t>
  </si>
  <si>
    <t>Sourcewell 022217-SYS</t>
  </si>
  <si>
    <t>36-20</t>
  </si>
  <si>
    <t>Co-Op Purchase of Three (3) LET2-26 Cab/Chassis Trucks through BuyBoard</t>
  </si>
  <si>
    <t>AW 36-20</t>
  </si>
  <si>
    <t>Bond Equipment Company Inc.</t>
  </si>
  <si>
    <t>37-20</t>
  </si>
  <si>
    <t>Co-Op Purchase of Three (3) Leach, Alpha 16-Yard Refuse Bodies through BuyBoard</t>
  </si>
  <si>
    <t>AW 37-20</t>
  </si>
  <si>
    <t>J &amp; R Equipment</t>
  </si>
  <si>
    <t>BuyBoard 516-16</t>
  </si>
  <si>
    <t>38-20</t>
  </si>
  <si>
    <t>Yale Boulevard Bridge Rail at Duck Creek, Northeast Wingwall Rehabilitation</t>
  </si>
  <si>
    <t>I 38-20</t>
  </si>
  <si>
    <t>5/20/20 &amp; 5/27/20</t>
  </si>
  <si>
    <t>B 38-20</t>
  </si>
  <si>
    <t>T 38-20</t>
  </si>
  <si>
    <t>AW 38-20</t>
  </si>
  <si>
    <t>McMahon Contracting LP</t>
  </si>
  <si>
    <t>39-20</t>
  </si>
  <si>
    <t>Water Main Improvement Project (915 to 1301 Grinnell Drive)</t>
  </si>
  <si>
    <t>I 39-20</t>
  </si>
  <si>
    <t>3/19/20, 3/26/20, &amp; 4/2/20</t>
  </si>
  <si>
    <t>B 39-20</t>
  </si>
  <si>
    <t>A 39-20</t>
  </si>
  <si>
    <t>A2 39-20</t>
  </si>
  <si>
    <t>A3 39-20</t>
  </si>
  <si>
    <t>T 39-20</t>
  </si>
  <si>
    <t>AW 39-20</t>
  </si>
  <si>
    <t>SYB Construction</t>
  </si>
  <si>
    <t>40-20</t>
  </si>
  <si>
    <t>Co-Op Purchase of Wyndsor Park Playground Replacement through BuyBoard</t>
  </si>
  <si>
    <t>AW 40-20</t>
  </si>
  <si>
    <t>Child's Play, Inc.</t>
  </si>
  <si>
    <t>41-20</t>
  </si>
  <si>
    <t>Lookout Drive Landscape Improvements</t>
  </si>
  <si>
    <t>I 41-20</t>
  </si>
  <si>
    <t>3/2/20, 3/9/20, &amp; 3/16/20</t>
  </si>
  <si>
    <t>B 41-20</t>
  </si>
  <si>
    <t>A 41-20</t>
  </si>
  <si>
    <t>A2 41-20</t>
  </si>
  <si>
    <t>T 41-20</t>
  </si>
  <si>
    <t>AW 41-20</t>
  </si>
  <si>
    <t>Central North Construction, LLC</t>
  </si>
  <si>
    <t>42-20</t>
  </si>
  <si>
    <t>Spring Creek Nature Area Phase II Trails</t>
  </si>
  <si>
    <t>I 42-20</t>
  </si>
  <si>
    <t>3/23/20, 3/30/20, &amp; 4/6/20</t>
  </si>
  <si>
    <t>B 42-20</t>
  </si>
  <si>
    <t>A 42-20</t>
  </si>
  <si>
    <t>A2 42-20</t>
  </si>
  <si>
    <t>A3 42-20</t>
  </si>
  <si>
    <t>T 42-20</t>
  </si>
  <si>
    <t>AW 42-20</t>
  </si>
  <si>
    <t>Ratliff Hardscape</t>
  </si>
  <si>
    <t>43-20</t>
  </si>
  <si>
    <t>Co-Op Purchase of City Hall Campus Enhancements through TIPS</t>
  </si>
  <si>
    <t>AW 43-20</t>
  </si>
  <si>
    <t>Regency Lighting, Inc.</t>
  </si>
  <si>
    <t>TIPS 18060201</t>
  </si>
  <si>
    <t>44-20</t>
  </si>
  <si>
    <t>Co-Op Purchase of Crowley Park North Playground Replacement through BuyBoard</t>
  </si>
  <si>
    <t>AW 44-20</t>
  </si>
  <si>
    <t>Whirlix, Inc.</t>
  </si>
  <si>
    <t>45-20</t>
  </si>
  <si>
    <t>Co-Op Purchase and Installation of Fitness Equipment for Fire Station No. 3 through BuyBoard</t>
  </si>
  <si>
    <t>AW 45-20</t>
  </si>
  <si>
    <t>Team Marathon Fitness</t>
  </si>
  <si>
    <t>46-20</t>
  </si>
  <si>
    <t>Co-Op Purchase of Cradlepoint Cellular Modems and Antennas for Transportation &amp; Mobility through DIR</t>
  </si>
  <si>
    <t>AW 46-20</t>
  </si>
  <si>
    <t>GTS Technology Solutions, Inc.</t>
  </si>
  <si>
    <t>DIR-TSO-3652 and DIR-TSO-4174</t>
  </si>
  <si>
    <t>47-20</t>
  </si>
  <si>
    <t>Co-Op ARC Fire Department Uniforms through BuyBoard</t>
  </si>
  <si>
    <t>AW 47-20</t>
  </si>
  <si>
    <t>GT Distributors, Inc.</t>
  </si>
  <si>
    <t>BuyBoard 603-20</t>
  </si>
  <si>
    <t>48-20</t>
  </si>
  <si>
    <t>Co-Op ARC Police Department Uniforms &amp; Body Armor through BuyBoard</t>
  </si>
  <si>
    <t>AW 48-20</t>
  </si>
  <si>
    <t>Galls, Inc.</t>
  </si>
  <si>
    <t>49-20</t>
  </si>
  <si>
    <t>Co-Op ARC Soft Body Armor through City of Grand Prairie</t>
  </si>
  <si>
    <t>AW 49-20</t>
  </si>
  <si>
    <t>Angel Armor</t>
  </si>
  <si>
    <t>City of Grand Prairie 19153</t>
  </si>
  <si>
    <t>50-20</t>
  </si>
  <si>
    <t>2020 Asphalt Overlay Program</t>
  </si>
  <si>
    <t>I 50-20</t>
  </si>
  <si>
    <t>3/9/20 &amp; 3/16/20</t>
  </si>
  <si>
    <t>B 50-20</t>
  </si>
  <si>
    <t>A 50-20</t>
  </si>
  <si>
    <t>A2 50-20</t>
  </si>
  <si>
    <t>T 50-20</t>
  </si>
  <si>
    <t>AW 50-20</t>
  </si>
  <si>
    <t>Reynolds Asphalt &amp; Construction Company</t>
  </si>
  <si>
    <t>51-20</t>
  </si>
  <si>
    <t>A/R/C Landscape &amp; Turf Maintenance</t>
  </si>
  <si>
    <t>3/18/20 &amp; 3/25/20</t>
  </si>
  <si>
    <t>B 51-20</t>
  </si>
  <si>
    <t>A 51-20</t>
  </si>
  <si>
    <t>A2 51-20</t>
  </si>
  <si>
    <t>A3 51-20</t>
  </si>
  <si>
    <t>A4-5 51-20</t>
  </si>
  <si>
    <t>T 51-20</t>
  </si>
  <si>
    <t>AW 51-20</t>
  </si>
  <si>
    <t>Carruthers Landscape Management</t>
  </si>
  <si>
    <t>BrightView Landscape Services</t>
  </si>
  <si>
    <t>52-20</t>
  </si>
  <si>
    <t>Co-Op Lease of Golf Carts through OMNIA Partners</t>
  </si>
  <si>
    <t>AW 52-20</t>
  </si>
  <si>
    <t>E-Z-Go Division of Textron Inc.</t>
  </si>
  <si>
    <t>OMNIA Partners R161101</t>
  </si>
  <si>
    <t>53-20</t>
  </si>
  <si>
    <t>Co-Op Replacement of Legacy Enterprise Systems with SaaS Solution through Sourcewell</t>
  </si>
  <si>
    <t>AW 53-20</t>
  </si>
  <si>
    <t>54-20</t>
  </si>
  <si>
    <t>Co-Op A/R/C Maintenance, Repair, and Operations (MRO) Supplies &amp; Related Services through OMNIA Partners</t>
  </si>
  <si>
    <t>AW 54-20</t>
  </si>
  <si>
    <t>Lowe's Home Centers</t>
  </si>
  <si>
    <t>OMNIA Partners R192006</t>
  </si>
  <si>
    <t>55-20</t>
  </si>
  <si>
    <t>Prairie Creek Sewer Line Realignment</t>
  </si>
  <si>
    <t>I 55-20</t>
  </si>
  <si>
    <t>4/27/20, 5/4/20, &amp; 5/11/20</t>
  </si>
  <si>
    <t>B 55-20</t>
  </si>
  <si>
    <t>T 55-20</t>
  </si>
  <si>
    <t>AW 55-20</t>
  </si>
  <si>
    <t>Canary Construction, Inc.</t>
  </si>
  <si>
    <t>56-20</t>
  </si>
  <si>
    <t>Co-Op A/R/C Ammunition for Police and FMO through BuyBoard</t>
  </si>
  <si>
    <t>AW 56-20</t>
  </si>
  <si>
    <t>BuyBoard 603-20 and Open Market</t>
  </si>
  <si>
    <t>57-20</t>
  </si>
  <si>
    <t>Co-Op A/R/C Maintenance, Repair, and Operations (MRO) Supplies through OMNIA Partners</t>
  </si>
  <si>
    <t>AW 57-20</t>
  </si>
  <si>
    <t>Amazon Services</t>
  </si>
  <si>
    <t>OMNIA Partners R-TC-17006</t>
  </si>
  <si>
    <t>58-20</t>
  </si>
  <si>
    <t>Co-Op JOC for Animal Shelter Roof Replacement through TIPS</t>
  </si>
  <si>
    <t>AW 58-20</t>
  </si>
  <si>
    <t>Simon Roofing &amp; Sheet Metal Company</t>
  </si>
  <si>
    <t>TIPS 180702 (JOC)</t>
  </si>
  <si>
    <t>59-20</t>
  </si>
  <si>
    <t>A/R/C Sand, Soil, &amp; Rock</t>
  </si>
  <si>
    <t>6/2/20 &amp; 6/9/20</t>
  </si>
  <si>
    <t>B 59-20</t>
  </si>
  <si>
    <t>A 59-20</t>
  </si>
  <si>
    <t>T 59-20</t>
  </si>
  <si>
    <t>AW 59-20</t>
  </si>
  <si>
    <t>CJA Enterprises</t>
  </si>
  <si>
    <t>Liberty Sand &amp; Gravel</t>
  </si>
  <si>
    <t>Turf Materials</t>
  </si>
  <si>
    <t>60-20</t>
  </si>
  <si>
    <t>Co-Op A/R/C Grounds Maintenance Equipment, Irrigation Parts, Supplies, and Installation through BuyBoard</t>
  </si>
  <si>
    <t>AW 60-20</t>
  </si>
  <si>
    <t>Interspec, LLC</t>
  </si>
  <si>
    <t>Professional Turf Products, LP</t>
  </si>
  <si>
    <t>61-20</t>
  </si>
  <si>
    <t>Co-Op A/R/C Hot and Cold Mix Asphalt through City of Garland</t>
  </si>
  <si>
    <t>AW 61-20</t>
  </si>
  <si>
    <t>Texas Materials Group</t>
  </si>
  <si>
    <t>City of Garland 0204-18</t>
  </si>
  <si>
    <t>62-20</t>
  </si>
  <si>
    <t>Emergency Replacement of Sanitary Sewer Manhole Cover</t>
  </si>
  <si>
    <t>AW 62-20</t>
  </si>
  <si>
    <t>Quality Excavation, Ltd.</t>
  </si>
  <si>
    <t>Emergency - LGC 252.022(a)(2)(3)</t>
  </si>
  <si>
    <t>63-20</t>
  </si>
  <si>
    <t>Co-Op JOC for Heights Recreation Center Roof Top Unit Replacement through TIPS</t>
  </si>
  <si>
    <t>AW 63-20</t>
  </si>
  <si>
    <t>Texas Air Systems</t>
  </si>
  <si>
    <t>TIPS 18010101</t>
  </si>
  <si>
    <t>64-20</t>
  </si>
  <si>
    <t>Cart Path Bridge Demolition and Erosion Repair Project at Sherrill Park</t>
  </si>
  <si>
    <t>I 64-20</t>
  </si>
  <si>
    <t>6/18/20, 6/25/20, &amp; 7/2/20</t>
  </si>
  <si>
    <t>B 64-20</t>
  </si>
  <si>
    <t>T 64-20</t>
  </si>
  <si>
    <t>AW 64-20</t>
  </si>
  <si>
    <t>Eaton Construction</t>
  </si>
  <si>
    <t>65-20</t>
  </si>
  <si>
    <t>South Dorothy Drive Paving and Water Main Improvements</t>
  </si>
  <si>
    <t>I 65-20</t>
  </si>
  <si>
    <t>7/7/20, 7/14/20, &amp; 7/21/20</t>
  </si>
  <si>
    <t>B 65-20</t>
  </si>
  <si>
    <t>T 65-20</t>
  </si>
  <si>
    <t>AW 65-20</t>
  </si>
  <si>
    <t>66-20</t>
  </si>
  <si>
    <t>Canyon Creek Alley Reconstruction (Alleys A, B, C, D &amp; E)</t>
  </si>
  <si>
    <t>I 66-20</t>
  </si>
  <si>
    <t>8/5/20, 8/12/20, &amp; 8/19/20</t>
  </si>
  <si>
    <t>B 66-20</t>
  </si>
  <si>
    <t>T 66-20</t>
  </si>
  <si>
    <t>AW 66-20</t>
  </si>
  <si>
    <t>67-20</t>
  </si>
  <si>
    <t>Bunker Hill Water Main Improvements</t>
  </si>
  <si>
    <t>I 67-20</t>
  </si>
  <si>
    <t>7/2/20, 7/9/20, &amp; 7/16/20</t>
  </si>
  <si>
    <t>B 67-20</t>
  </si>
  <si>
    <t>A 67-20</t>
  </si>
  <si>
    <t>T 67-20</t>
  </si>
  <si>
    <t>AW 67-20</t>
  </si>
  <si>
    <t>68-20</t>
  </si>
  <si>
    <t>Co-Op Purchase of Traffic Detection Equipment through BuyBoard</t>
  </si>
  <si>
    <t>AW 68-20</t>
  </si>
  <si>
    <t>AM Signal, Inc.</t>
  </si>
  <si>
    <t>BuyBoard 608-20</t>
  </si>
  <si>
    <t>69-20</t>
  </si>
  <si>
    <t>Co-Op Purchase of Cisco Network Equipment, Servers, and Phones through DIR</t>
  </si>
  <si>
    <t>AW 69-20</t>
  </si>
  <si>
    <t>DIR-TSO-4167</t>
  </si>
  <si>
    <t>70-20</t>
  </si>
  <si>
    <t>Old Campbell Road Street Reconstruction</t>
  </si>
  <si>
    <t>I 70-20</t>
  </si>
  <si>
    <t>B 70-20</t>
  </si>
  <si>
    <t>T 70-20</t>
  </si>
  <si>
    <t>AW 70-20</t>
  </si>
  <si>
    <t>Reliable Paving Inc.</t>
  </si>
  <si>
    <t>71-20</t>
  </si>
  <si>
    <t>FY20 Open Channel Maintenance</t>
  </si>
  <si>
    <t>I 71-20</t>
  </si>
  <si>
    <t>B 71-20</t>
  </si>
  <si>
    <t>A 71-20</t>
  </si>
  <si>
    <t>T 71-20</t>
  </si>
  <si>
    <t>AW 71-20</t>
  </si>
  <si>
    <t>Iron T Construction, Inc.</t>
  </si>
  <si>
    <t>72-20</t>
  </si>
  <si>
    <t>2020 Utility Repairs Project (Stormwater, Water, and Wastewater Infrastructure)</t>
  </si>
  <si>
    <t>I 72-20</t>
  </si>
  <si>
    <t>8/17/20, 8/24/20, &amp; 8/31/20</t>
  </si>
  <si>
    <t>B 72-20</t>
  </si>
  <si>
    <t>A 72-20</t>
  </si>
  <si>
    <t>T 72-20</t>
  </si>
  <si>
    <t>AW 72-20</t>
  </si>
  <si>
    <t>Joe Funk Construction</t>
  </si>
  <si>
    <t>73-20</t>
  </si>
  <si>
    <t>Co-Op Lease of Stryker Medical Equipment through NASPO ValuePoint</t>
  </si>
  <si>
    <t>AW 73-20</t>
  </si>
  <si>
    <t>Stryker Corporation</t>
  </si>
  <si>
    <t>NASPO ValuePoint OK-SW-300</t>
  </si>
  <si>
    <t>74-20</t>
  </si>
  <si>
    <t>Co-Op A/R/C Office Supplies through Sourcewell</t>
  </si>
  <si>
    <t>AW 74-20</t>
  </si>
  <si>
    <t>Staples Advantage</t>
  </si>
  <si>
    <t>Sourcewell 012320-SCC</t>
  </si>
  <si>
    <t>75-20</t>
  </si>
  <si>
    <t>Co-Op Purchase of Information Technology Equipment through DIR</t>
  </si>
  <si>
    <t>AW 75-20</t>
  </si>
  <si>
    <t>Dell Corporation</t>
  </si>
  <si>
    <t>DIR-TSO-3763 and DIR-TSO-4167</t>
  </si>
  <si>
    <t>76-20</t>
  </si>
  <si>
    <t>Co-Op Purchase of Breckinridge Park Restroom Fabrication and Installation through BuyBoard</t>
  </si>
  <si>
    <t>AW 76-20</t>
  </si>
  <si>
    <t>Public Restroom Company</t>
  </si>
  <si>
    <t>77-20</t>
  </si>
  <si>
    <t>Co-Op A/R/C Library Materials through State of Texas</t>
  </si>
  <si>
    <t>AW 77-20</t>
  </si>
  <si>
    <t>Baker &amp; Taylor, LLC</t>
  </si>
  <si>
    <t>Brodart Co.</t>
  </si>
  <si>
    <t>Ingram Library Services</t>
  </si>
  <si>
    <t>Midwest Tape, LLC</t>
  </si>
  <si>
    <t>State of Texas 715-M2</t>
  </si>
  <si>
    <t>78-20</t>
  </si>
  <si>
    <t>Co-Op A/R/C Fertilizer and Grounds Chemicals through BuyBoard</t>
  </si>
  <si>
    <t>AW 78-20</t>
  </si>
  <si>
    <t>Harrell's, LLC</t>
  </si>
  <si>
    <t>BWI Companies, Inc.</t>
  </si>
  <si>
    <t>79-20</t>
  </si>
  <si>
    <t>A/R/C Security Guard Services</t>
  </si>
  <si>
    <t>7/22/20 &amp; 7//29/20</t>
  </si>
  <si>
    <t>B 79-20</t>
  </si>
  <si>
    <t>T 79-20</t>
  </si>
  <si>
    <t>AW 79-20</t>
  </si>
  <si>
    <t>Andy Frain Services, Inc.</t>
  </si>
  <si>
    <t>80-20</t>
  </si>
  <si>
    <t>A/R/C Bulk Fertilizer</t>
  </si>
  <si>
    <t>7/29/20 &amp; 8/5/20</t>
  </si>
  <si>
    <t>B 80-20</t>
  </si>
  <si>
    <t>T 80-20</t>
  </si>
  <si>
    <t>AW 80-20</t>
  </si>
  <si>
    <t>Justin Seed Company</t>
  </si>
  <si>
    <t>Helena Agri-Enterprises, LLC</t>
  </si>
  <si>
    <t>81-20</t>
  </si>
  <si>
    <t>Co-Op Purchase of HVAC Upgrades at Various Facilities through OMNIA Partners, RFQ 2017-4, &amp; BuyBoard</t>
  </si>
  <si>
    <t>AW 81-20</t>
  </si>
  <si>
    <t>Trane</t>
  </si>
  <si>
    <t>Climatec, LLC</t>
  </si>
  <si>
    <t>OMNIA Partners 15-JLP-023, RFQ 2017-4, and BuyBoard 558-18</t>
  </si>
  <si>
    <t>82-20</t>
  </si>
  <si>
    <t>Fire Station #6 Outside Air HVAC Upgrades</t>
  </si>
  <si>
    <t>I 82-20</t>
  </si>
  <si>
    <t>8/5/20 &amp; 8/12/20</t>
  </si>
  <si>
    <t>B 82-20</t>
  </si>
  <si>
    <t>A 82-20</t>
  </si>
  <si>
    <t>T 82-20</t>
  </si>
  <si>
    <t>AW 82-20</t>
  </si>
  <si>
    <t>Reliable Plant Maintenance</t>
  </si>
  <si>
    <t>83-20</t>
  </si>
  <si>
    <t>Co-Op Purchase of Facility Touchless Plumbing Upgrades through City of Allen</t>
  </si>
  <si>
    <t>AW 83-20</t>
  </si>
  <si>
    <t>Amundson Plumbing, LLC</t>
  </si>
  <si>
    <t>City of Allen 2018-4-56</t>
  </si>
  <si>
    <t>84-20</t>
  </si>
  <si>
    <t>2020-2021 Alley Repairs Program Region A</t>
  </si>
  <si>
    <t>I 84-20</t>
  </si>
  <si>
    <t>9/1/20, 9/8/20, &amp; 9/15/20</t>
  </si>
  <si>
    <t>B 84-20</t>
  </si>
  <si>
    <t>T 84-20</t>
  </si>
  <si>
    <t>AW 84-20</t>
  </si>
  <si>
    <t>Cam-Crete Contracting, Inc.</t>
  </si>
  <si>
    <t>85-20</t>
  </si>
  <si>
    <t>2020-2021 Alley Repairs Program Region B</t>
  </si>
  <si>
    <t>I 85-20</t>
  </si>
  <si>
    <t>B 85-20</t>
  </si>
  <si>
    <t>T 85-20</t>
  </si>
  <si>
    <t>AW 85-20</t>
  </si>
  <si>
    <t>86-20</t>
  </si>
  <si>
    <t>Co-Op Purchase of Facility City Hall Office Upgrades through OMNIA Partners, TIPS, &amp; NCPA</t>
  </si>
  <si>
    <t>AW 86-20</t>
  </si>
  <si>
    <t>Corporate Source</t>
  </si>
  <si>
    <t>OMNIA Partners 2019.001896, TIPS 200301, and NCPA 07-58</t>
  </si>
  <si>
    <t>87-20</t>
  </si>
  <si>
    <t>Co-Op Purchase of Library Technology Equipment through Sole Source and DIR</t>
  </si>
  <si>
    <t>AW 87-20</t>
  </si>
  <si>
    <t>LaptopsAnytime</t>
  </si>
  <si>
    <t xml:space="preserve">Sole Source, DIR-TSO-3763, and DIR-TSO-4167 </t>
  </si>
  <si>
    <t>88-20</t>
  </si>
  <si>
    <t>Co-Op Purchase of Telecommunications Upgrades to Council Chambers and Richardson Room through TIPS</t>
  </si>
  <si>
    <t>AW 88-20</t>
  </si>
  <si>
    <t>Ford Audio-Video Systems, LLC</t>
  </si>
  <si>
    <t>TIPS 171001</t>
  </si>
  <si>
    <t>89-20</t>
  </si>
  <si>
    <t>Co-Op Park Vista Road Drainage Improvements through Grand Prairie</t>
  </si>
  <si>
    <t>AW 89-20</t>
  </si>
  <si>
    <t>McMahon Contracting, L.P.</t>
  </si>
  <si>
    <t>City of Grand Prairie 16040</t>
  </si>
  <si>
    <t>90-20</t>
  </si>
  <si>
    <t>Co-Op Park Vista Road Paving Improvements through Grand Prairie</t>
  </si>
  <si>
    <t>AW 90-20</t>
  </si>
  <si>
    <t>City of Grand Prairie 16112</t>
  </si>
  <si>
    <t>91-20</t>
  </si>
  <si>
    <t>Co-Op Purchase of AXON Equipment, Software, and Servies for Police through BuyBoard</t>
  </si>
  <si>
    <t>AW 91-20</t>
  </si>
  <si>
    <t>Axon Enterprise, Inc.</t>
  </si>
  <si>
    <t>BuyBoard 568-18</t>
  </si>
  <si>
    <t>92-20</t>
  </si>
  <si>
    <t>Co-Op JOC for Fire Training Center Draft Tank Upgrades and Driveway and Sidewalk Repairs through TIPS</t>
  </si>
  <si>
    <t>AW 92-20</t>
  </si>
  <si>
    <t>TIPS 200201 (JOC)</t>
  </si>
  <si>
    <t>93-20</t>
  </si>
  <si>
    <t>Co-Op HVAC Upgrades at Various Facilities through OMNIA Partners and BuyBoard</t>
  </si>
  <si>
    <t>AW 93-20</t>
  </si>
  <si>
    <t>OMNIA Partners 15-JLP-023 and BuyBoard 558-18</t>
  </si>
  <si>
    <t>94-20</t>
  </si>
  <si>
    <t>Emergency Repair of 30" Transmission Water Main</t>
  </si>
  <si>
    <t>AW 94-20</t>
  </si>
  <si>
    <t>Rey-Mar Construction</t>
  </si>
  <si>
    <t>95-20</t>
  </si>
  <si>
    <t>Co-Op Purchase of Regenerative Air Sweeper for Parks through HGAC</t>
  </si>
  <si>
    <t>AW 95-20</t>
  </si>
  <si>
    <t>Tymco, Inc.</t>
  </si>
  <si>
    <t>HGAC SW04-20</t>
  </si>
  <si>
    <t>96-20</t>
  </si>
  <si>
    <t>Co-Op Purchase of Turf Mower and Utility Vehicle for Parks through BuyBoard</t>
  </si>
  <si>
    <t>AW 96-20</t>
  </si>
  <si>
    <t>97-20</t>
  </si>
  <si>
    <t>Co-Op Purchase of MICU for Fire Station No. 3 through HGAC</t>
  </si>
  <si>
    <t>AW 97-20</t>
  </si>
  <si>
    <t>HGAC AM10-20</t>
  </si>
  <si>
    <t>98-20</t>
  </si>
  <si>
    <t>Co-Op Purchase of Lift Truck through Sourcewell</t>
  </si>
  <si>
    <t>AW 98-20</t>
  </si>
  <si>
    <t>Equipment Depot Texas, Inc.</t>
  </si>
  <si>
    <t>Sourcewell 101816-MCF</t>
  </si>
  <si>
    <t>99-20</t>
  </si>
  <si>
    <t xml:space="preserve">Co-Op Purchase of Two (2) Front Loaders for Public Services through BuyBoard </t>
  </si>
  <si>
    <t>AW 99-20</t>
  </si>
  <si>
    <t>Chastang Enterprises, Inc.</t>
  </si>
  <si>
    <t>501-20</t>
  </si>
  <si>
    <t>A/R/C Litter Abatement Program</t>
  </si>
  <si>
    <t>B 501-20</t>
  </si>
  <si>
    <t>Schneider Siltation, LLC</t>
  </si>
  <si>
    <t>502-20</t>
  </si>
  <si>
    <t>Co-Op Purchase of Ford Expedition SUV for Emergency Management through Tarrant County</t>
  </si>
  <si>
    <t>Tarrant County 2019-014</t>
  </si>
  <si>
    <t>503-20</t>
  </si>
  <si>
    <t>A/R/C Traffic Count Program</t>
  </si>
  <si>
    <t>B 503-20</t>
  </si>
  <si>
    <t>T 503-20</t>
  </si>
  <si>
    <t>504-20</t>
  </si>
  <si>
    <t>Melrose Drive at Cottonwood Creek Channel Repair Project</t>
  </si>
  <si>
    <t>B 504-20</t>
  </si>
  <si>
    <t>T 504-20</t>
  </si>
  <si>
    <t>505-20</t>
  </si>
  <si>
    <t>A/R/C Parks Recycling Services</t>
  </si>
  <si>
    <t>B 505-20</t>
  </si>
  <si>
    <t>T 505-20</t>
  </si>
  <si>
    <t>506-20</t>
  </si>
  <si>
    <t>A/R/C Maintenance and Repairs US75 Street Lighting</t>
  </si>
  <si>
    <t>B 506-20</t>
  </si>
  <si>
    <t>A 506-20</t>
  </si>
  <si>
    <t>T 506-20</t>
  </si>
  <si>
    <t>507-20</t>
  </si>
  <si>
    <t>Melrose Drive at Cottonwood Creek Channel Repair Project - Rebid</t>
  </si>
  <si>
    <t>B 507-20</t>
  </si>
  <si>
    <t>T 507-20</t>
  </si>
  <si>
    <t>508-20</t>
  </si>
  <si>
    <t>A/R/C Installation, Removal and Storage of Street Banners</t>
  </si>
  <si>
    <t>B 508-20</t>
  </si>
  <si>
    <t>A 508-20</t>
  </si>
  <si>
    <t>A2 508-20</t>
  </si>
  <si>
    <t>T 508-20</t>
  </si>
  <si>
    <t>509-20</t>
  </si>
  <si>
    <t>A/R/C Pump Service and Repair</t>
  </si>
  <si>
    <t>B 509-20</t>
  </si>
  <si>
    <t>A 509-20</t>
  </si>
  <si>
    <t>A2 509-20</t>
  </si>
  <si>
    <t>T 509-20</t>
  </si>
  <si>
    <t>701-20</t>
  </si>
  <si>
    <t>A/R/C Generators for Special Events</t>
  </si>
  <si>
    <t>B 701-20</t>
  </si>
  <si>
    <t>Entertainment Services</t>
  </si>
  <si>
    <t>702-20</t>
  </si>
  <si>
    <t>Bank Depository Services</t>
  </si>
  <si>
    <t>3/6/20 &amp; 3/13/20</t>
  </si>
  <si>
    <t>B 702-20</t>
  </si>
  <si>
    <t>A 702-20</t>
  </si>
  <si>
    <t>A2 702-20</t>
  </si>
  <si>
    <t>AW 702-20</t>
  </si>
  <si>
    <t>Bank of America</t>
  </si>
  <si>
    <t>703-20</t>
  </si>
  <si>
    <t>Life/AD&amp;D/Voluntary Life/Vol. AD&amp;D/Long Term Disability, Short Term DI (Proposed New), and FSA</t>
  </si>
  <si>
    <t>8/11/20 &amp; 8/18/20</t>
  </si>
  <si>
    <t>B 703-20</t>
  </si>
  <si>
    <t>A 703-20</t>
  </si>
  <si>
    <t>A2 703-20</t>
  </si>
  <si>
    <t>901-20</t>
  </si>
  <si>
    <t>CORE Gateway - Public Improvements</t>
  </si>
  <si>
    <t>7/3/20 &amp; 7/10/20</t>
  </si>
  <si>
    <t>B 901-20</t>
  </si>
  <si>
    <t>A 901-20</t>
  </si>
  <si>
    <t>A2 901-20</t>
  </si>
  <si>
    <t>A3 901-20</t>
  </si>
  <si>
    <t>T 901-20</t>
  </si>
  <si>
    <t>PDA w/ Richardson Gateway, LLC</t>
  </si>
  <si>
    <t>2020-01</t>
  </si>
  <si>
    <t>CMAR Senior Center Renovation Project</t>
  </si>
  <si>
    <t>I 2020-01</t>
  </si>
  <si>
    <t>8/27/19 &amp; 9/3/19</t>
  </si>
  <si>
    <t>B 2020-01</t>
  </si>
  <si>
    <t>A 2020-01-1</t>
  </si>
  <si>
    <t>AW 2020-1</t>
  </si>
  <si>
    <t>Balfour Beatty Construction</t>
  </si>
  <si>
    <t>2020-02</t>
  </si>
  <si>
    <t>Civil Engineering, Architecture, Landscape Architecture, Traffic Engineering, Geotechnical Engineering &amp; Construction Materials Testing, Surveying, and Related Services for Capital Improvement Plan Projects, Engineering Services and Engineering Staff Support Services</t>
  </si>
  <si>
    <t>2/5/20 &amp; 2/12/20</t>
  </si>
  <si>
    <t>B 2020-02</t>
  </si>
  <si>
    <t>A 2020-02</t>
  </si>
  <si>
    <t>A2 2020-02</t>
  </si>
  <si>
    <t>A3 2020-02</t>
  </si>
  <si>
    <t>Various</t>
  </si>
  <si>
    <t>2020-03</t>
  </si>
  <si>
    <t>Arapaho Center Station TOD Planning &amp; Bus Transit Center Feasibility Study</t>
  </si>
  <si>
    <t>B 2020-03</t>
  </si>
  <si>
    <t>AECOM Technical Services</t>
  </si>
  <si>
    <t>2020-04</t>
  </si>
  <si>
    <t>District Place Branding Strategy</t>
  </si>
  <si>
    <t>B 2020-04</t>
  </si>
  <si>
    <t>A 2020-04</t>
  </si>
  <si>
    <t>1001-20</t>
  </si>
  <si>
    <t>Information Current as of February 10, 2020</t>
  </si>
  <si>
    <t>FISCAL YEAR 2018-2019</t>
  </si>
  <si>
    <t>01-19</t>
  </si>
  <si>
    <t>Paving and Pedestrian Improvements to East Renner Road - 2015 Bond Program</t>
  </si>
  <si>
    <t>I 01-19</t>
  </si>
  <si>
    <t>11/6/18 &amp; 11/13/18</t>
  </si>
  <si>
    <t>B 01-19</t>
  </si>
  <si>
    <t>T 01-19</t>
  </si>
  <si>
    <t>AW 01-19</t>
  </si>
  <si>
    <t>Axis Contracting, Inc.</t>
  </si>
  <si>
    <t>YES</t>
  </si>
  <si>
    <t>02-19</t>
  </si>
  <si>
    <t>Co-Op Terrace Pool Plaster/Resurfacing Project through BuyBoard</t>
  </si>
  <si>
    <t>AW 02-19</t>
  </si>
  <si>
    <t>Sunbelt Pools, Inc.</t>
  </si>
  <si>
    <t>NO</t>
  </si>
  <si>
    <t>03-19</t>
  </si>
  <si>
    <t>Co-Op Purchase of One (1) E-One Typhoon Chassis Custom Fire Apparatus through HGAC</t>
  </si>
  <si>
    <t>AW 03-19</t>
  </si>
  <si>
    <t>HGAC FS12-15</t>
  </si>
  <si>
    <t>04-19</t>
  </si>
  <si>
    <t>Co-Op Purchase of One (1) Frazer MICU Ambulance through HGAC</t>
  </si>
  <si>
    <t>AW 04-19</t>
  </si>
  <si>
    <t>05-19</t>
  </si>
  <si>
    <t>Co-Op Cabling Services for Public Safety Complex through DIR</t>
  </si>
  <si>
    <t>AW 05-19</t>
  </si>
  <si>
    <t>06-19</t>
  </si>
  <si>
    <t>Co-Op Purchase of One (1) Toro Ground Master and One (1) Toro Z-Master through BuyBoard</t>
  </si>
  <si>
    <t>AW 06-19</t>
  </si>
  <si>
    <t>Professional Turf Products, L.P.</t>
  </si>
  <si>
    <t>07-19</t>
  </si>
  <si>
    <t>Co-Op Purchase of Six (6) Chevrolet Pursuit Rated Tahoes through Tarrant County</t>
  </si>
  <si>
    <t>AW 07-19</t>
  </si>
  <si>
    <t>Tarrant County 2016-006</t>
  </si>
  <si>
    <t>08-19</t>
  </si>
  <si>
    <t>Powerwashing and Concrete Stain at Eisemann Center</t>
  </si>
  <si>
    <t>09-19</t>
  </si>
  <si>
    <t>A/R/C Landscape Installation and Materials</t>
  </si>
  <si>
    <t>11/26/18 &amp;12/3/18</t>
  </si>
  <si>
    <t>B 09-19</t>
  </si>
  <si>
    <t>T 09-19</t>
  </si>
  <si>
    <t>10-19</t>
  </si>
  <si>
    <t>Co-Op Purchase of Ammunition for Police &amp; FMO through BuyBoard</t>
  </si>
  <si>
    <t>AW 10-19</t>
  </si>
  <si>
    <t>G.T. Distributors</t>
  </si>
  <si>
    <t>BuyBoard 524-17 &amp; Open Market</t>
  </si>
  <si>
    <t>11-19</t>
  </si>
  <si>
    <t>Co-Op Purchase of Two (2) Heavy-Duty Tilt Bed Equipment Trailers through BuyBoard</t>
  </si>
  <si>
    <t>AW 11-19</t>
  </si>
  <si>
    <t>Interstate Trailers, Inc.</t>
  </si>
  <si>
    <t>12-19</t>
  </si>
  <si>
    <t>Co-Op Purchase of One (1) Utility Vehicle and One (1) Fairway Mower through Sourcewell</t>
  </si>
  <si>
    <t>AW 12-19</t>
  </si>
  <si>
    <t>Deere &amp; Company</t>
  </si>
  <si>
    <t>Sourcewell 062117-DAC</t>
  </si>
  <si>
    <t>13-19</t>
  </si>
  <si>
    <t>A/R/C Large Water Meter Testing and Repair</t>
  </si>
  <si>
    <t>10/17/18 &amp; 10/24/18</t>
  </si>
  <si>
    <t>B 13-19</t>
  </si>
  <si>
    <t>T 13-19</t>
  </si>
  <si>
    <t>Re-bid of 30-18</t>
  </si>
  <si>
    <t>14-19</t>
  </si>
  <si>
    <t>Co-Op Purchase of Playground Equipment for Cottonwood Park Inclusive Playground through BuyBoard</t>
  </si>
  <si>
    <t>AW 14-19</t>
  </si>
  <si>
    <t>Gametime/Total Recreation Products, Inc.</t>
  </si>
  <si>
    <t>BuyBoard 512-16</t>
  </si>
  <si>
    <t>15-19</t>
  </si>
  <si>
    <t>Co-Op Purchase of Cottonwood Park Restroom Fabrication and Installation through BuyBoard</t>
  </si>
  <si>
    <t>AW 15-19</t>
  </si>
  <si>
    <t>16-19</t>
  </si>
  <si>
    <t>Co-Op Purchase of Huffhines Park Restroom Fabrication and Installation through BuyBoard</t>
  </si>
  <si>
    <t>AW 16-19</t>
  </si>
  <si>
    <t>17-19</t>
  </si>
  <si>
    <t>Co-Op Purchase of Fire Station #3 and Park Restroom Roof Replacements through 1GPA</t>
  </si>
  <si>
    <t>AW 17-19</t>
  </si>
  <si>
    <t>Progressive Roofing</t>
  </si>
  <si>
    <t>1GPA 14-184P</t>
  </si>
  <si>
    <t>18-19</t>
  </si>
  <si>
    <t>Co-Op JOC for Fire Training Center Burn Tower Repairs and Upgrades through NCPA</t>
  </si>
  <si>
    <t>AW 18-19</t>
  </si>
  <si>
    <t>NCPA 04-03 (JOC)</t>
  </si>
  <si>
    <t>19-19</t>
  </si>
  <si>
    <t>Co-Op A/R/C Custodial Supplies and Equipment through BuyBoard</t>
  </si>
  <si>
    <t>AW 19-19</t>
  </si>
  <si>
    <t>Pollock Paper Distributors</t>
  </si>
  <si>
    <t>Eagle Brush and Chemical, Inc.</t>
  </si>
  <si>
    <t>BuyBoard 569-18</t>
  </si>
  <si>
    <t>20-19</t>
  </si>
  <si>
    <t>Co-Op Pool Cover Replacements through BuyBoard</t>
  </si>
  <si>
    <t>AW 20-19</t>
  </si>
  <si>
    <t>21-19</t>
  </si>
  <si>
    <t>Cottonwood Park Emergency Storm Drain Replacement</t>
  </si>
  <si>
    <t>AW 21-19</t>
  </si>
  <si>
    <t>Texas Standard Construction</t>
  </si>
  <si>
    <t>Emergency purchase authorized by LCG 252.022(a)(2)(3)</t>
  </si>
  <si>
    <t>22-19</t>
  </si>
  <si>
    <t>Co-Op Purchase of Self Contained Breathing Apparatus (SCBA) and Related Equipment through BuyBoard</t>
  </si>
  <si>
    <t>AW 22-19</t>
  </si>
  <si>
    <t>Dooley Tackaberry, Inc.</t>
  </si>
  <si>
    <t xml:space="preserve">BuyBoard 524-17 </t>
  </si>
  <si>
    <t>23-19</t>
  </si>
  <si>
    <t>Co-Op Enterprise Server Replacements through DIR</t>
  </si>
  <si>
    <t>AW 23-19</t>
  </si>
  <si>
    <t>24-19</t>
  </si>
  <si>
    <t>Co-Op Purchase of Cottonwood Park Inclusive Playground Equipment Installation through BuyBoard</t>
  </si>
  <si>
    <t>AW 24-19</t>
  </si>
  <si>
    <t>Henneberger Construction, Inc.</t>
  </si>
  <si>
    <t>25-19</t>
  </si>
  <si>
    <t>Co-Op A/R/C Traffic Signal and Miscellaneous Traffic Construction Services through City of McKinney</t>
  </si>
  <si>
    <t>AW 25-19</t>
  </si>
  <si>
    <t>Bean Electrical, Inc.</t>
  </si>
  <si>
    <t>Durable Specialties, Inc.</t>
  </si>
  <si>
    <t>City of McKinney 18-48FP</t>
  </si>
  <si>
    <t>26-19</t>
  </si>
  <si>
    <t>Co-Op Purchase of Various Vehicles for City Departments through Tarrant County</t>
  </si>
  <si>
    <t>AW 26-19</t>
  </si>
  <si>
    <t>Tarrant County 2018-022</t>
  </si>
  <si>
    <t>27-19</t>
  </si>
  <si>
    <t>Asbestos Abatement and Demolition of Structures at NW Corner of Custer Road and Lookout Drive</t>
  </si>
  <si>
    <t>I 27-19</t>
  </si>
  <si>
    <t>12/14/18 &amp; 12/21/18</t>
  </si>
  <si>
    <t>B 27-19</t>
  </si>
  <si>
    <t>T 27-19</t>
  </si>
  <si>
    <t>AW 27-19</t>
  </si>
  <si>
    <t>Midwest Wrecking Co. of Texas, Inc.</t>
  </si>
  <si>
    <t>28-19</t>
  </si>
  <si>
    <t>Co-Op Purchase of Pistols and Rifles for Police Department Sworn Officers through BuyBoard</t>
  </si>
  <si>
    <t>AW 28-19</t>
  </si>
  <si>
    <t>29-19</t>
  </si>
  <si>
    <t>Co-Op JOC for Restroom Door Replacements through BuyBoard</t>
  </si>
  <si>
    <t>AW 29-19</t>
  </si>
  <si>
    <t>BuyBoard 464-14 (JOC)</t>
  </si>
  <si>
    <t>30-19</t>
  </si>
  <si>
    <t xml:space="preserve">A/R/C Large Water Meter Testing and Repair </t>
  </si>
  <si>
    <t>11/29/18 &amp; 12/6/18</t>
  </si>
  <si>
    <t>B 30-19</t>
  </si>
  <si>
    <t>T 30-19</t>
  </si>
  <si>
    <t>AW 30-19</t>
  </si>
  <si>
    <t>UWS, Inc.</t>
  </si>
  <si>
    <t>Re-bid of 13-19</t>
  </si>
  <si>
    <t>31-19</t>
  </si>
  <si>
    <t>Centennial Tower &amp; W. Lookout Drive Valve Improvement</t>
  </si>
  <si>
    <t>I 31-19</t>
  </si>
  <si>
    <t>12/28/18 &amp; 1/4/19</t>
  </si>
  <si>
    <t>B 31-19</t>
  </si>
  <si>
    <t>T 31-19</t>
  </si>
  <si>
    <t>AW 31-19</t>
  </si>
  <si>
    <t>John Burns Construction Company of Texas, Inc.</t>
  </si>
  <si>
    <t>32-19</t>
  </si>
  <si>
    <t>Co-Op Purchase of Next Generation 911 Technology Upgrade &amp; Recording System Replacement through HGAC</t>
  </si>
  <si>
    <t>AW 32-19</t>
  </si>
  <si>
    <t>AT&amp;T Services, Inc.</t>
  </si>
  <si>
    <t>HGAC EC07-18</t>
  </si>
  <si>
    <t>33-19</t>
  </si>
  <si>
    <t>Co-Op Purchase of Enterprise Workstation Replacements through DIR</t>
  </si>
  <si>
    <t>AW 33-19</t>
  </si>
  <si>
    <t>Dell Marketing LP</t>
  </si>
  <si>
    <t>DIR-TSO-3763</t>
  </si>
  <si>
    <t>34-19</t>
  </si>
  <si>
    <t>Co-Op Purchase of Data Storage Equipment for Public Safety Complex, CITV, and City Core through DIR</t>
  </si>
  <si>
    <t>AW 34-19</t>
  </si>
  <si>
    <t>35-19</t>
  </si>
  <si>
    <t>Co-Op Purchase of Police Equipment to Outfit Chevrolet Tahoes and Ford Interceptors through BuyBoard</t>
  </si>
  <si>
    <t>AW 35-19</t>
  </si>
  <si>
    <t>36-19</t>
  </si>
  <si>
    <t>Co-Op A/R/C Building Maintenance, Repair, Operations Supplies, and Equipment through BuyBoard</t>
  </si>
  <si>
    <t>AW 36-19</t>
  </si>
  <si>
    <t>Grainger, Inc.</t>
  </si>
  <si>
    <t>BuyBoard 557-18</t>
  </si>
  <si>
    <t>37-19</t>
  </si>
  <si>
    <t>A/R/C Stage, Sound, Lighting, &amp; Misc. Services</t>
  </si>
  <si>
    <t>1/15/19 &amp; 1/22/19</t>
  </si>
  <si>
    <t>B 37-19</t>
  </si>
  <si>
    <t>T 37-19</t>
  </si>
  <si>
    <t>AW 37-19</t>
  </si>
  <si>
    <t>Onstage Systems</t>
  </si>
  <si>
    <t>Epicenter Productions</t>
  </si>
  <si>
    <t>38-19</t>
  </si>
  <si>
    <t>B 38-19</t>
  </si>
  <si>
    <t>T 38-19</t>
  </si>
  <si>
    <t>AW 38-19</t>
  </si>
  <si>
    <t>R&amp;M Service Solutions, LLC</t>
  </si>
  <si>
    <t>39-19</t>
  </si>
  <si>
    <t>Co-Op JOC for Tennis Court Fencing and Ball Field Back Stop Replacements through BuyBoard</t>
  </si>
  <si>
    <t>AW 39-19</t>
  </si>
  <si>
    <t>40-19</t>
  </si>
  <si>
    <t>1/8/19 &amp; 1/15/19</t>
  </si>
  <si>
    <t>B 40-19</t>
  </si>
  <si>
    <t xml:space="preserve"> T 40-19</t>
  </si>
  <si>
    <t>AW 40-19</t>
  </si>
  <si>
    <t>Bruce Miller Nursery</t>
  </si>
  <si>
    <t>Re-bid of 09-19</t>
  </si>
  <si>
    <t>41-19</t>
  </si>
  <si>
    <t>Sherrill Park Golf Course Emergency Repair of 48-inch Storm Drain</t>
  </si>
  <si>
    <t>AW 41-19</t>
  </si>
  <si>
    <t>Fleetwood Services LLC</t>
  </si>
  <si>
    <t>Emergency purchase authorized by LGC 252.022(a)(2)(3)</t>
  </si>
  <si>
    <t>42-19</t>
  </si>
  <si>
    <t>Co-Op Purchase of Two (2) Conventional Cab Chassis with Roll-off Hoist Bodies through TIPS</t>
  </si>
  <si>
    <t>AW 42-19</t>
  </si>
  <si>
    <t>43-19</t>
  </si>
  <si>
    <t>2019 Open Channel Maintenance Project - Winter</t>
  </si>
  <si>
    <t>I 43-19</t>
  </si>
  <si>
    <t>1/14/19 &amp; 1/21/19</t>
  </si>
  <si>
    <t>B 43-19</t>
  </si>
  <si>
    <t>T 43-19</t>
  </si>
  <si>
    <t>AW 43-19</t>
  </si>
  <si>
    <t>Iron T Construction</t>
  </si>
  <si>
    <t>44-19</t>
  </si>
  <si>
    <t>Alley Reconstruction &amp; Utility Rehabilitation Project (400 Block of Fairview Drive, 1100 Block of Pacific Drive (north &amp; south), 200-300 Block of Ocean Drive) - 2015 Bond Program</t>
  </si>
  <si>
    <t>I 44-19</t>
  </si>
  <si>
    <t>1/18/19 &amp; 1/25/19</t>
  </si>
  <si>
    <t>B 44-19</t>
  </si>
  <si>
    <t>T 44-19</t>
  </si>
  <si>
    <t>AW 44-19</t>
  </si>
  <si>
    <t>KIK Underground, LLC</t>
  </si>
  <si>
    <t>45-19</t>
  </si>
  <si>
    <t>Co-Op Purchase of Three (3) Ford Pursuit Rated Interceptors through State of Texas Contract</t>
  </si>
  <si>
    <t>AW 45-19</t>
  </si>
  <si>
    <t>46-19</t>
  </si>
  <si>
    <t>AW 46-19</t>
  </si>
  <si>
    <t>47-19</t>
  </si>
  <si>
    <t>Co-Op Purchase of One (1) World Trans Shuttlebus through HGAC</t>
  </si>
  <si>
    <t>AW 47-19</t>
  </si>
  <si>
    <t>Alliance Bus Group</t>
  </si>
  <si>
    <t>HGAC BT01-19</t>
  </si>
  <si>
    <t>48-19</t>
  </si>
  <si>
    <t>Co-Op Purchase of Two (2) Dodge Pursuit Rated Chargers through State of Texas Contract</t>
  </si>
  <si>
    <t>AW 48-19</t>
  </si>
  <si>
    <t>49-19</t>
  </si>
  <si>
    <t>Co-Op Purchase of Library and Animal Shelter HVAC Refresh through BuyBoard</t>
  </si>
  <si>
    <t>AW 49-19</t>
  </si>
  <si>
    <t>50-19</t>
  </si>
  <si>
    <t>Co-Op Purchase of Animal Shelter Monument Sign through BuyBoard</t>
  </si>
  <si>
    <t>AW 50-19</t>
  </si>
  <si>
    <t>Casteel Sign</t>
  </si>
  <si>
    <t>BuyBoard 577-18</t>
  </si>
  <si>
    <t>51-19</t>
  </si>
  <si>
    <t>Co-Op Purchase of Colt Rifles, Upgrades to Existing Rifles, Glock Model 45 Pistols, and Other Accessories for Police Department through BuyBoard</t>
  </si>
  <si>
    <t>AW 51-19</t>
  </si>
  <si>
    <t>52-19</t>
  </si>
  <si>
    <t>A/R/C Automotive Paint and Body Repair Services</t>
  </si>
  <si>
    <t>2/25/19 &amp; 3/4/19</t>
  </si>
  <si>
    <t>B 52-19</t>
  </si>
  <si>
    <t>T 52-19</t>
  </si>
  <si>
    <t>53-19</t>
  </si>
  <si>
    <t>Co-Op A/R/C Fire Department Uniforms through BuyBoard</t>
  </si>
  <si>
    <t>AW 53-19</t>
  </si>
  <si>
    <t>54-19</t>
  </si>
  <si>
    <t>Co-Op Purchase of Solid Waste Containers through BuyBoard</t>
  </si>
  <si>
    <t>AW 54-19</t>
  </si>
  <si>
    <t>Roll-offs USA</t>
  </si>
  <si>
    <t>55-19</t>
  </si>
  <si>
    <t>Co-Op Purchase of Traffic Signal Poles through HGAC</t>
  </si>
  <si>
    <t>AW 55-19</t>
  </si>
  <si>
    <t>Consolidated Traffic Controls</t>
  </si>
  <si>
    <t>HGAC PE-05-17</t>
  </si>
  <si>
    <t>56-19</t>
  </si>
  <si>
    <t>Co-Op Purchase of Public Safety Campus 911 Dispatch Consoles through NCPA</t>
  </si>
  <si>
    <t>AW 56-19</t>
  </si>
  <si>
    <t>Watson Furniture Group, Inc.</t>
  </si>
  <si>
    <t>NCPA 07-48</t>
  </si>
  <si>
    <t>57-19</t>
  </si>
  <si>
    <t>3/20/19 &amp; 3/27/19</t>
  </si>
  <si>
    <t>B 57-19</t>
  </si>
  <si>
    <t>T 57-19</t>
  </si>
  <si>
    <t>AW 57-19</t>
  </si>
  <si>
    <t>Maaco Collision Repair</t>
  </si>
  <si>
    <t>Re-bid of 52-19</t>
  </si>
  <si>
    <t>58-19</t>
  </si>
  <si>
    <t>A/R/C Furnishing and Installation of Pavement Marking Materials</t>
  </si>
  <si>
    <t>4/11/19 &amp; 4/18/19</t>
  </si>
  <si>
    <t>B 58-19</t>
  </si>
  <si>
    <t>T 58-19</t>
  </si>
  <si>
    <t>AW 58-19</t>
  </si>
  <si>
    <t>A&amp;M Maintenance Services, Inc.</t>
  </si>
  <si>
    <t>59-19</t>
  </si>
  <si>
    <t>Co-Op Purchase of Fitness Equipment for Fire and Police through BuyBoard</t>
  </si>
  <si>
    <t>AW 59-19</t>
  </si>
  <si>
    <t>60-19</t>
  </si>
  <si>
    <t xml:space="preserve">Co-Op A/R/C of Soft Body Armor through City of Grand Prairie </t>
  </si>
  <si>
    <t>AW 60-19</t>
  </si>
  <si>
    <t>Angel Armor, LLC</t>
  </si>
  <si>
    <t>City of Grand Prairie #19015</t>
  </si>
  <si>
    <t>61-19</t>
  </si>
  <si>
    <t xml:space="preserve">Co-Op A/R/C for Uniforms and Accessories through US Communities </t>
  </si>
  <si>
    <t>AW 61-19</t>
  </si>
  <si>
    <t xml:space="preserve">Cintas Corporation </t>
  </si>
  <si>
    <t>US Communities (OMNIA) R-BB-19002</t>
  </si>
  <si>
    <t>62-19</t>
  </si>
  <si>
    <t>Co-Op Purchase of Front Loader Chassis and Body through BuyBoard</t>
  </si>
  <si>
    <t>AW 62-19</t>
  </si>
  <si>
    <t>63-19</t>
  </si>
  <si>
    <t>Co-Op Purchase of Two (2) Pursuit Rated Ford Interceptors through Tarrant County</t>
  </si>
  <si>
    <t>AW 63-19</t>
  </si>
  <si>
    <t>Tarrant County #2019-014</t>
  </si>
  <si>
    <t>64-19</t>
  </si>
  <si>
    <t>Co-Op Purchase of Six (6) NEMA Type 1 Traffic Controller Cabinets through BuyBoard</t>
  </si>
  <si>
    <t>AW 64-19</t>
  </si>
  <si>
    <t xml:space="preserve">Trafficware Group, Inc. </t>
  </si>
  <si>
    <t>BuyBoard 534-17</t>
  </si>
  <si>
    <t>65-19</t>
  </si>
  <si>
    <t>Dorothy Drive Paving, Drainage, Water &amp; Sanitary Sewer Improvements</t>
  </si>
  <si>
    <t>I 65-19</t>
  </si>
  <si>
    <t>5/14/19 &amp; 5/21/19</t>
  </si>
  <si>
    <t>B 65-19</t>
  </si>
  <si>
    <t>A 65-19-1</t>
  </si>
  <si>
    <t>AW 65-19-2</t>
  </si>
  <si>
    <t>T 65-19</t>
  </si>
  <si>
    <t>AW 65-19</t>
  </si>
  <si>
    <t>Quality Excavation, LTD</t>
  </si>
  <si>
    <t>66-19</t>
  </si>
  <si>
    <t>Service Center UST Project</t>
  </si>
  <si>
    <t>I 66-19</t>
  </si>
  <si>
    <t>5/7/19 &amp; 5/14/19</t>
  </si>
  <si>
    <t>B 66-19</t>
  </si>
  <si>
    <t>A 66-19-1</t>
  </si>
  <si>
    <t>T 66-19</t>
  </si>
  <si>
    <t>AW 66-19</t>
  </si>
  <si>
    <t>Unified Services of Texas, Inc.</t>
  </si>
  <si>
    <t>Award and Deductive Change Order</t>
  </si>
  <si>
    <t>67-19</t>
  </si>
  <si>
    <t>A/R/C Herbicides, Insecticides, and Chemicals</t>
  </si>
  <si>
    <t>5/21/19 &amp; 5/28/19</t>
  </si>
  <si>
    <t>B 67-19</t>
  </si>
  <si>
    <t>T 67-19</t>
  </si>
  <si>
    <t>AW 67-19</t>
  </si>
  <si>
    <t>Winfield Solutions</t>
  </si>
  <si>
    <t>68-19</t>
  </si>
  <si>
    <t>Huffhines Park Lake Dredging Project</t>
  </si>
  <si>
    <t>I 68-19</t>
  </si>
  <si>
    <t>6/4/19 &amp; 6/11/19</t>
  </si>
  <si>
    <t>B 68-19</t>
  </si>
  <si>
    <t>T 68-19</t>
  </si>
  <si>
    <t>AW 68-19</t>
  </si>
  <si>
    <t>Lecon, Inc.</t>
  </si>
  <si>
    <t>69-19</t>
  </si>
  <si>
    <t>A/R/C Chemicals and Fertilizer for Sherrill Park Golf Course</t>
  </si>
  <si>
    <t>6/25/19 &amp; 7/2/19</t>
  </si>
  <si>
    <t>B 69-19</t>
  </si>
  <si>
    <t>T 69-19</t>
  </si>
  <si>
    <t>70-19</t>
  </si>
  <si>
    <t>A/R/C Hazardous Materials Emergency Response Services</t>
  </si>
  <si>
    <t>5/29/19 &amp; 6/5/19</t>
  </si>
  <si>
    <t>B 70-19</t>
  </si>
  <si>
    <t>T 70-19</t>
  </si>
  <si>
    <t>AW 70-19</t>
  </si>
  <si>
    <t>Protect Environmental Services, Inc.</t>
  </si>
  <si>
    <t>71-19</t>
  </si>
  <si>
    <t>A/R/C Furnishing and Installation of Trees</t>
  </si>
  <si>
    <t>6/14/19 &amp; 6/21/19</t>
  </si>
  <si>
    <t>B 71-19</t>
  </si>
  <si>
    <t>T 71-19</t>
  </si>
  <si>
    <t>AW 71-19</t>
  </si>
  <si>
    <t>Fannin Tree Farm</t>
  </si>
  <si>
    <t>72-19</t>
  </si>
  <si>
    <t>Cabover Chassis with 11-Yard Rear Loader Refuse Body</t>
  </si>
  <si>
    <t>B 72-19</t>
  </si>
  <si>
    <t>T 72-19</t>
  </si>
  <si>
    <t>AW 72-19</t>
  </si>
  <si>
    <t>Industrial Power Truck &amp; Equipment</t>
  </si>
  <si>
    <t>73-19</t>
  </si>
  <si>
    <t>Duck Creek Trail Extension</t>
  </si>
  <si>
    <t>I 73-19</t>
  </si>
  <si>
    <t>8/20/19, 8/27/19, &amp; 9/3/19</t>
  </si>
  <si>
    <t>B 73-19</t>
  </si>
  <si>
    <t>T 73-19</t>
  </si>
  <si>
    <t>AW 73-19</t>
  </si>
  <si>
    <t>The Fain Group, Inc.</t>
  </si>
  <si>
    <t>74-19</t>
  </si>
  <si>
    <t>1908-1910 Harvard Drive Alley Storm Drain Replacement Project</t>
  </si>
  <si>
    <t>I 74-19</t>
  </si>
  <si>
    <t>7/9/19, 7/16/19, 7/23/19</t>
  </si>
  <si>
    <t>B 74-19</t>
  </si>
  <si>
    <t>A 74-19-1</t>
  </si>
  <si>
    <t>T 74-19</t>
  </si>
  <si>
    <t>AW 74-19</t>
  </si>
  <si>
    <t>75-19</t>
  </si>
  <si>
    <t>Alley Replacements - Willow Crest Drive and Syracuse Drive</t>
  </si>
  <si>
    <t>I 75-19</t>
  </si>
  <si>
    <t>6/26/19 &amp; 7/3/19</t>
  </si>
  <si>
    <t>B 75-19</t>
  </si>
  <si>
    <t>T 75-19</t>
  </si>
  <si>
    <t>AW 75-19</t>
  </si>
  <si>
    <t>HQS Construction, LLC</t>
  </si>
  <si>
    <t>76-19</t>
  </si>
  <si>
    <t xml:space="preserve">A/R/C Container Plant Materials </t>
  </si>
  <si>
    <t>7/25/19 &amp; 8/1/19</t>
  </si>
  <si>
    <t>B 76-19</t>
  </si>
  <si>
    <t>A 76-19-1</t>
  </si>
  <si>
    <t>T 76-19</t>
  </si>
  <si>
    <t>AW 76-19</t>
  </si>
  <si>
    <t>Landmark Nurseries, Inc.</t>
  </si>
  <si>
    <t>77-19</t>
  </si>
  <si>
    <t>I 77-19</t>
  </si>
  <si>
    <t>7/17/19 &amp; 7/24/19</t>
  </si>
  <si>
    <t>B 77-19</t>
  </si>
  <si>
    <t>A 77-19-1</t>
  </si>
  <si>
    <t>T 77-19</t>
  </si>
  <si>
    <t>78-19</t>
  </si>
  <si>
    <t>Spring Valley Tunnel and Jupiter/Collins Painted Surfaces Restoration</t>
  </si>
  <si>
    <t>I 78-19</t>
  </si>
  <si>
    <t>7/24/19 &amp; 7/31/19</t>
  </si>
  <si>
    <t>B 78-19</t>
  </si>
  <si>
    <t>A 78-19-1</t>
  </si>
  <si>
    <t>T 78-19</t>
  </si>
  <si>
    <t>AW 78-19</t>
  </si>
  <si>
    <t>JNA Painting and Contracting Company, Inc.</t>
  </si>
  <si>
    <t>79-19</t>
  </si>
  <si>
    <t>Axon Interview Room Services through BuyBoard</t>
  </si>
  <si>
    <t>AW 79-19</t>
  </si>
  <si>
    <t>80-19</t>
  </si>
  <si>
    <t>Two (2) Godwin CD225 8" Diesel Dri-Prime Pumps and One (1) Godwin CD250 10" Diesel Dri-Prime Pump for Emergency Management through BuyBoard</t>
  </si>
  <si>
    <t>AW 80-19</t>
  </si>
  <si>
    <t>Xylem Dewatering Solutions, Inc.</t>
  </si>
  <si>
    <t>BuyBoard 589-19</t>
  </si>
  <si>
    <t>81-19</t>
  </si>
  <si>
    <t>Co-Op A/R/C Radios and Accessories through HGAC</t>
  </si>
  <si>
    <t>AW 81-19</t>
  </si>
  <si>
    <t>Motorola Solutions, Inc.</t>
  </si>
  <si>
    <t>HGAC RA05-18</t>
  </si>
  <si>
    <t>82-19</t>
  </si>
  <si>
    <t>Co-Op A/R/C Traffic Control, Enforcement, and Signal Preemption Equipment through HGAC</t>
  </si>
  <si>
    <t>AW 82-19</t>
  </si>
  <si>
    <t>HGAC PE05-19</t>
  </si>
  <si>
    <t>83-19</t>
  </si>
  <si>
    <t>Co-Op One (1) Truck Chassis with Concrete Mixer Body through TIPS</t>
  </si>
  <si>
    <t>AW 83-19</t>
  </si>
  <si>
    <t>84-19</t>
  </si>
  <si>
    <t>Annual Pavement Repair Contract for Collector Roads</t>
  </si>
  <si>
    <t>I 84-19</t>
  </si>
  <si>
    <t>9/5/19 &amp; 9/12/19</t>
  </si>
  <si>
    <t>B 84-19</t>
  </si>
  <si>
    <t>A 84-19-1</t>
  </si>
  <si>
    <t>T 84-19</t>
  </si>
  <si>
    <t>AW 84-19</t>
  </si>
  <si>
    <t>HQS Construction</t>
  </si>
  <si>
    <t>85-19</t>
  </si>
  <si>
    <t>Co-Op Network Switches for Public Safety Campus through DIR</t>
  </si>
  <si>
    <t>AW 85-19</t>
  </si>
  <si>
    <t>86-19</t>
  </si>
  <si>
    <t>Co-Op Video Servers for Public Safety Campus through DIR</t>
  </si>
  <si>
    <t>AW 86-19</t>
  </si>
  <si>
    <t>Sigma Surveillance Inc. dba STS360</t>
  </si>
  <si>
    <t>DIR-TSO-3459</t>
  </si>
  <si>
    <t>501-19</t>
  </si>
  <si>
    <t>A/R/C Specialty Item Rental for Special Events</t>
  </si>
  <si>
    <t>B 501-19</t>
  </si>
  <si>
    <t>T 501-19</t>
  </si>
  <si>
    <t>TLC Event Rentals</t>
  </si>
  <si>
    <t>502-19</t>
  </si>
  <si>
    <t>Re-bid A/R/C LED Screens for Wildflower Festival</t>
  </si>
  <si>
    <t>B 502-19</t>
  </si>
  <si>
    <t>T 502-19</t>
  </si>
  <si>
    <t>GoVision, LLC</t>
  </si>
  <si>
    <t>Re-bid of 519-18</t>
  </si>
  <si>
    <t>503-19</t>
  </si>
  <si>
    <t>A/R/C Video Production Services</t>
  </si>
  <si>
    <t>B 503-19</t>
  </si>
  <si>
    <t>T 503-19</t>
  </si>
  <si>
    <t>Tricam Video Productions, Inc.</t>
  </si>
  <si>
    <t>504-19</t>
  </si>
  <si>
    <t>A/R/C Family Fourth of July Bus Services</t>
  </si>
  <si>
    <t>B 504-19</t>
  </si>
  <si>
    <t>505-19</t>
  </si>
  <si>
    <t>Re-bid A/R/C Famiy Fourth of July Bus Services</t>
  </si>
  <si>
    <t>B 505-19</t>
  </si>
  <si>
    <t>T 505-19</t>
  </si>
  <si>
    <t>AJL International</t>
  </si>
  <si>
    <t>Re-bid of 504-19</t>
  </si>
  <si>
    <t>506-19</t>
  </si>
  <si>
    <t>Parks Maintenance Office Sanitary Sewer Improvements</t>
  </si>
  <si>
    <t>Iron T Construction Inc.</t>
  </si>
  <si>
    <t>507-19</t>
  </si>
  <si>
    <t>***Bid Number Not Used***</t>
  </si>
  <si>
    <t>508-19</t>
  </si>
  <si>
    <t>A/R/C Automotive Batteries</t>
  </si>
  <si>
    <t>B 508-19</t>
  </si>
  <si>
    <t>A 508-19-1</t>
  </si>
  <si>
    <t>T 508-19</t>
  </si>
  <si>
    <t>701-19</t>
  </si>
  <si>
    <t>1/16/19 &amp; 1/23/19</t>
  </si>
  <si>
    <t>B 701-19</t>
  </si>
  <si>
    <t>A 701-19-1</t>
  </si>
  <si>
    <t>AW 701-19</t>
  </si>
  <si>
    <t>LegacyTexas Bank</t>
  </si>
  <si>
    <t>702-19</t>
  </si>
  <si>
    <t>Merchant Card Services</t>
  </si>
  <si>
    <t>B 702-19</t>
  </si>
  <si>
    <t>A 702-19-1</t>
  </si>
  <si>
    <t>A 702-19-2</t>
  </si>
  <si>
    <t>AW 702-19</t>
  </si>
  <si>
    <t>703-19</t>
  </si>
  <si>
    <t>10/1/18 &amp; 10/8/18</t>
  </si>
  <si>
    <t>B 703-19</t>
  </si>
  <si>
    <t>A 703-19-1</t>
  </si>
  <si>
    <t>Stealth Partner Group</t>
  </si>
  <si>
    <t>704-19</t>
  </si>
  <si>
    <t>Eisemann Center Audio Systems Upgrades</t>
  </si>
  <si>
    <t>11/30/18 &amp; 12/7/18</t>
  </si>
  <si>
    <t>B 704-19</t>
  </si>
  <si>
    <t>705-19</t>
  </si>
  <si>
    <t>Preventive Pond Maintenance Program</t>
  </si>
  <si>
    <t>10/10/18 &amp; 10/17/18</t>
  </si>
  <si>
    <t>B 705-19</t>
  </si>
  <si>
    <t>A 705-19-1</t>
  </si>
  <si>
    <t>AW 705-19</t>
  </si>
  <si>
    <t>PondMedics, Inc.</t>
  </si>
  <si>
    <t>706-19</t>
  </si>
  <si>
    <t>Public Safety Campus Case Goods</t>
  </si>
  <si>
    <t>B 706-19</t>
  </si>
  <si>
    <t>A 706-19-1</t>
  </si>
  <si>
    <t>707-19</t>
  </si>
  <si>
    <t>AW 707-19</t>
  </si>
  <si>
    <t>Audio Visual Innovations, Inc.</t>
  </si>
  <si>
    <t>TIPS 170306</t>
  </si>
  <si>
    <t>AWARDED VENDOR</t>
  </si>
  <si>
    <t>901-19</t>
  </si>
  <si>
    <t>Main Street Contract Tree Grow</t>
  </si>
  <si>
    <t>I 901-19</t>
  </si>
  <si>
    <t>3/6/19 &amp; 3/13/19</t>
  </si>
  <si>
    <t>B 901-19</t>
  </si>
  <si>
    <t>A 901-19-1</t>
  </si>
  <si>
    <t>T 901-19</t>
  </si>
  <si>
    <t>902-19</t>
  </si>
  <si>
    <t>Lookout Lift Station and Force Main Replacement</t>
  </si>
  <si>
    <t>I 902-19</t>
  </si>
  <si>
    <t>5/9/19 &amp; 5/16/19</t>
  </si>
  <si>
    <t>B 902-19</t>
  </si>
  <si>
    <t>A 902-19-1</t>
  </si>
  <si>
    <t>T 902-19</t>
  </si>
  <si>
    <t>903-19</t>
  </si>
  <si>
    <t>Main Street Reconstruction</t>
  </si>
  <si>
    <t>I 903-19</t>
  </si>
  <si>
    <t>4/22/19 &amp; 4/29/19</t>
  </si>
  <si>
    <t>B 903-19</t>
  </si>
  <si>
    <t>A 903-19-1</t>
  </si>
  <si>
    <t>A 903-19-2</t>
  </si>
  <si>
    <t>A 903-19-3</t>
  </si>
  <si>
    <t>T 903-19</t>
  </si>
  <si>
    <t>AW 903-19</t>
  </si>
  <si>
    <t>Rebcon, Inc.</t>
  </si>
  <si>
    <t>904-19</t>
  </si>
  <si>
    <t>I 904-19</t>
  </si>
  <si>
    <t>5/8/19 &amp; 5/15/19</t>
  </si>
  <si>
    <t>B 904-19</t>
  </si>
  <si>
    <t>T 904-19</t>
  </si>
  <si>
    <t>AW 904-19</t>
  </si>
  <si>
    <t>Environmental Design, Inc.</t>
  </si>
  <si>
    <t>Re-bid of 901-19</t>
  </si>
  <si>
    <t>905-19</t>
  </si>
  <si>
    <t>I 905-19</t>
  </si>
  <si>
    <t>B 905-19</t>
  </si>
  <si>
    <t>A 905-19-1</t>
  </si>
  <si>
    <t>T 905-19</t>
  </si>
  <si>
    <t>AW 905-19</t>
  </si>
  <si>
    <t>North Texas Contracting, Inc.</t>
  </si>
  <si>
    <t>Re-bid of 902-19</t>
  </si>
  <si>
    <t>2019-01</t>
  </si>
  <si>
    <t>CMAR Fire Station 3 Project</t>
  </si>
  <si>
    <t>I 2019-01</t>
  </si>
  <si>
    <t>10/24/18 &amp; 10/31/18</t>
  </si>
  <si>
    <t>B 2019-01</t>
  </si>
  <si>
    <t>A 2019-01-1</t>
  </si>
  <si>
    <t>AW 2019-01</t>
  </si>
  <si>
    <t>CORE Construction</t>
  </si>
  <si>
    <t>2019-02</t>
  </si>
  <si>
    <t>2018-19 Storm Drain Inspection, Cleaning, and Repairs Project Consultant</t>
  </si>
  <si>
    <t>B 2019-02</t>
  </si>
  <si>
    <t>Halff Associates, Inc.</t>
  </si>
  <si>
    <t>2019-03</t>
  </si>
  <si>
    <t>Master Planning, Programming, Architectural, and Engineering Design Services for Richardson Public Library</t>
  </si>
  <si>
    <t>B 2019-03</t>
  </si>
  <si>
    <t>A 2019-03-1</t>
  </si>
  <si>
    <t>Architexas</t>
  </si>
  <si>
    <t>1001-19</t>
  </si>
  <si>
    <t>Information Current as of April 16, 2019</t>
  </si>
  <si>
    <t>FISCAL YEAR 2017-2018</t>
  </si>
  <si>
    <t>01-18</t>
  </si>
  <si>
    <t>University Trail Phase II Construction</t>
  </si>
  <si>
    <t>I 01-18</t>
  </si>
  <si>
    <t>11/14/17 &amp; 11/21/17</t>
  </si>
  <si>
    <t>B 01-18</t>
  </si>
  <si>
    <t>T 01-18</t>
  </si>
  <si>
    <t>AW 01-18</t>
  </si>
  <si>
    <t>02-18</t>
  </si>
  <si>
    <t>A/R/C Portable Restrooms</t>
  </si>
  <si>
    <t>10/19/17 &amp; 10/26/17</t>
  </si>
  <si>
    <t>B 02-18</t>
  </si>
  <si>
    <t>T 02-18</t>
  </si>
  <si>
    <t>AW 02-18</t>
  </si>
  <si>
    <t>MMG Building &amp; Construction Services, LLC</t>
  </si>
  <si>
    <t>03-18</t>
  </si>
  <si>
    <t>A/R/C Street Rehabilitation</t>
  </si>
  <si>
    <t>I 03-18</t>
  </si>
  <si>
    <t>9/19/17 &amp; 9/26/17</t>
  </si>
  <si>
    <t>B 03-18</t>
  </si>
  <si>
    <t>T 03-18</t>
  </si>
  <si>
    <t>AW 03-18</t>
  </si>
  <si>
    <t>Estrada Concrete Company, LLC</t>
  </si>
  <si>
    <t>NPL Construction Company</t>
  </si>
  <si>
    <t>04-18</t>
  </si>
  <si>
    <t>Waterview at Tatum Intersection Improvements</t>
  </si>
  <si>
    <t>I 04-18</t>
  </si>
  <si>
    <t>B 04-18</t>
  </si>
  <si>
    <t>A 04-18-1</t>
  </si>
  <si>
    <t>T 04-18</t>
  </si>
  <si>
    <t>AW 04-18</t>
  </si>
  <si>
    <t>MHB Construction, Inc.</t>
  </si>
  <si>
    <t>05-18</t>
  </si>
  <si>
    <t>Co-Op Canyon Creek Park Playground Replacement through BuyBoard</t>
  </si>
  <si>
    <t>AW 05-18</t>
  </si>
  <si>
    <t>The Playwell Group, Inc.</t>
  </si>
  <si>
    <t>06-18</t>
  </si>
  <si>
    <t>A/R/C Screen-Printed Items</t>
  </si>
  <si>
    <t>10/3/17 &amp; 10/10/17</t>
  </si>
  <si>
    <t>B 06-18</t>
  </si>
  <si>
    <t>T 06-18</t>
  </si>
  <si>
    <t>AW 06-18</t>
  </si>
  <si>
    <t>Impress Designs Inc.</t>
  </si>
  <si>
    <t>07-18</t>
  </si>
  <si>
    <t>Co-Op Glenville Pool Plaster/Resurfacing Project through BuyBoard</t>
  </si>
  <si>
    <t>AW 07-18</t>
  </si>
  <si>
    <t>08-18</t>
  </si>
  <si>
    <t>A/R/C Water and Wastewater Materials **BID PULLED DUE TO SCOPE CHANGES**</t>
  </si>
  <si>
    <t>12/5/17 &amp; 12/12/17</t>
  </si>
  <si>
    <t>B 08-18</t>
  </si>
  <si>
    <t>A 08-18-1</t>
  </si>
  <si>
    <t>A 08-18-2</t>
  </si>
  <si>
    <t>A 08-18-3</t>
  </si>
  <si>
    <t>09-18</t>
  </si>
  <si>
    <t>AW 09-18</t>
  </si>
  <si>
    <t>10-18</t>
  </si>
  <si>
    <t>A/R/C Container Maintenance</t>
  </si>
  <si>
    <t>11/13/17 &amp; 11/20/17</t>
  </si>
  <si>
    <t>B 10-18</t>
  </si>
  <si>
    <t>T 10-18</t>
  </si>
  <si>
    <t>AW 10-18</t>
  </si>
  <si>
    <t>Fusion Waste and Recycling</t>
  </si>
  <si>
    <t>11-18</t>
  </si>
  <si>
    <t>A/R/C Parks Restroom Maintenance</t>
  </si>
  <si>
    <t>10/18/17 &amp; 10/25/17</t>
  </si>
  <si>
    <t>B 11-18</t>
  </si>
  <si>
    <t>T 11-18</t>
  </si>
  <si>
    <t>AW 11-18</t>
  </si>
  <si>
    <t>Lillard Lawn Commercial Maintenance</t>
  </si>
  <si>
    <t>12-18</t>
  </si>
  <si>
    <t>A/R/C Hardscape Installation</t>
  </si>
  <si>
    <t>B 12-18</t>
  </si>
  <si>
    <t>T 12-18</t>
  </si>
  <si>
    <t>AW 12-18</t>
  </si>
  <si>
    <t>Ratliff Hardscape, Ltd.</t>
  </si>
  <si>
    <t>13-18</t>
  </si>
  <si>
    <t>Co-Op Lease of Golf Carts through BuyBoard</t>
  </si>
  <si>
    <t>AW 13-18</t>
  </si>
  <si>
    <t>14-18</t>
  </si>
  <si>
    <t>A/R/C Clow Medallion Fire Hydrants</t>
  </si>
  <si>
    <t>11/1/17 &amp; 11/8/17</t>
  </si>
  <si>
    <t>B 14-18</t>
  </si>
  <si>
    <t>No bids received</t>
  </si>
  <si>
    <t>15-18</t>
  </si>
  <si>
    <t>Co-Op Purchase of MICU Ambulance through HGAC</t>
  </si>
  <si>
    <t>AW 15-18</t>
  </si>
  <si>
    <t>Mac Haik Dodge</t>
  </si>
  <si>
    <t>16-18</t>
  </si>
  <si>
    <t>Co-Op Purchase of One (1) Rubber Track Excavator and One (1) Articulated Wheel Loader through HGAC</t>
  </si>
  <si>
    <t>AW 16-18</t>
  </si>
  <si>
    <t>Associated Supply Company dba ASCO Equipment Co.</t>
  </si>
  <si>
    <t>HGAC EM06-17</t>
  </si>
  <si>
    <t>17-18</t>
  </si>
  <si>
    <t>Co-Op Purchase of Two (2) Rear Loader Chassis through BuyBoard</t>
  </si>
  <si>
    <t>AW 17-18</t>
  </si>
  <si>
    <t>18-18</t>
  </si>
  <si>
    <t>Co-Op Purchase of Two (2) Rear Loader Bodies through HGAC</t>
  </si>
  <si>
    <t>AW 18-18</t>
  </si>
  <si>
    <t>McNeilus Truck &amp; Manufacturing Company</t>
  </si>
  <si>
    <t>HGAC RH08-16</t>
  </si>
  <si>
    <t>19-18</t>
  </si>
  <si>
    <t>A/R/C Mobile Video Monitoring System</t>
  </si>
  <si>
    <t>3/2/18 &amp; 3/9/18</t>
  </si>
  <si>
    <t>B 19-18</t>
  </si>
  <si>
    <t>T 19-18</t>
  </si>
  <si>
    <t>AW 19-18</t>
  </si>
  <si>
    <t>WCCTV LLC</t>
  </si>
  <si>
    <t>20-18</t>
  </si>
  <si>
    <t>Co-Op Purchase of E-ONE Custom Fire Apparatus through HGAC</t>
  </si>
  <si>
    <t>AW 20-18</t>
  </si>
  <si>
    <t>Hall-Mark Fire Apparatus Texas, LLC</t>
  </si>
  <si>
    <t>21-18</t>
  </si>
  <si>
    <t>Co-Op Purchase of Nine (9) Chevrolet Pursuit Rated Tahoes through Tarrant County</t>
  </si>
  <si>
    <t>AW 21-18</t>
  </si>
  <si>
    <t>22-18</t>
  </si>
  <si>
    <t>Co-Op Puchase of One (1) Ford Interceptor Utility Pursuit Rated SUV through Tarrant County</t>
  </si>
  <si>
    <t>AW 22-18</t>
  </si>
  <si>
    <t>Five Star Ford</t>
  </si>
  <si>
    <t>23-18</t>
  </si>
  <si>
    <t>Co-Op Purchase of One (1) Dodge Charger Pursuit Rated Sedan through Tarrant County</t>
  </si>
  <si>
    <t>AW 23-18</t>
  </si>
  <si>
    <t>Dodge City of McKinney</t>
  </si>
  <si>
    <t>24-18</t>
  </si>
  <si>
    <t>Co-Op Purchase of One (1) 2018 Chenvrolet 1500 Special Services Silverado Pickup Truck through Tarrant County</t>
  </si>
  <si>
    <t>AW 24-18</t>
  </si>
  <si>
    <t>25-18</t>
  </si>
  <si>
    <t>Co-Op Purchase of One (1) Front Loader Chassis and Body through BuyBoard</t>
  </si>
  <si>
    <t>AW 25-18</t>
  </si>
  <si>
    <t>26-18</t>
  </si>
  <si>
    <t>Co-Op Purchase of One (1) Conventional Cab Chassis with Roll-Off Hoist Body through TIPS</t>
  </si>
  <si>
    <t>AW 26-18</t>
  </si>
  <si>
    <t>27-18</t>
  </si>
  <si>
    <t>Ocean &amp; Mariana Drive Water System &amp; Drainage Improvements</t>
  </si>
  <si>
    <t>I 27-18</t>
  </si>
  <si>
    <t>11/21/17 &amp; 11/28/17</t>
  </si>
  <si>
    <t>B 27-18</t>
  </si>
  <si>
    <t>A 27-18-1</t>
  </si>
  <si>
    <t>T 27-18</t>
  </si>
  <si>
    <t>AW 27-18</t>
  </si>
  <si>
    <t>28-18</t>
  </si>
  <si>
    <t>Co-Op Lease of Copiers through DIR</t>
  </si>
  <si>
    <t>AW 28-18</t>
  </si>
  <si>
    <t>Novacopy, Inc.</t>
  </si>
  <si>
    <t>DIR-TSO-3082</t>
  </si>
  <si>
    <t>29-18</t>
  </si>
  <si>
    <t>A/R/C Graffiti Removal &amp; Wall Washing/Painting</t>
  </si>
  <si>
    <t>1/31/18 &amp; 2/7/18</t>
  </si>
  <si>
    <t>B 29-18</t>
  </si>
  <si>
    <t>T 29-18</t>
  </si>
  <si>
    <t>Lead Agency on Co-Op Contract</t>
  </si>
  <si>
    <t>30-18</t>
  </si>
  <si>
    <t>Co-Op Purchase of One (1) SandPro 5040 and  One (1) Greenmaster 3150-Q through BuyBoard</t>
  </si>
  <si>
    <t>AW 30-18</t>
  </si>
  <si>
    <t>31-18</t>
  </si>
  <si>
    <t>Water Valves</t>
  </si>
  <si>
    <t>12/12/17 &amp; 12/19/17</t>
  </si>
  <si>
    <t>B 31-18</t>
  </si>
  <si>
    <t>T 31-18</t>
  </si>
  <si>
    <t>AW 31-18</t>
  </si>
  <si>
    <t>Core &amp; Main LP</t>
  </si>
  <si>
    <t>32-18</t>
  </si>
  <si>
    <t>A/R/C Install Irrigation Systems</t>
  </si>
  <si>
    <t>2/14/18 &amp; 2/21/18</t>
  </si>
  <si>
    <t>B 32-18</t>
  </si>
  <si>
    <t>T 32-18</t>
  </si>
  <si>
    <t>AW 32-18</t>
  </si>
  <si>
    <t>AND, Inc.</t>
  </si>
  <si>
    <t>33-18</t>
  </si>
  <si>
    <t>Co-Op Purchase of Thirty-Five (35) Panasonic Toughbooks &amp; Accessories through DIR</t>
  </si>
  <si>
    <t>AW 33-18</t>
  </si>
  <si>
    <t>GTS Technology Solutions</t>
  </si>
  <si>
    <t>DIR-TSO-2520 and DIR-TSO-3652</t>
  </si>
  <si>
    <t>34-18</t>
  </si>
  <si>
    <t>Co-Op JOC for Remodeling the Sherrill Park Golf Pro Shop and Pavilion through BuyBoard</t>
  </si>
  <si>
    <t>AW 34-18</t>
  </si>
  <si>
    <t>35-18</t>
  </si>
  <si>
    <t>A/R/C Pool Management</t>
  </si>
  <si>
    <t>1/5/18 &amp; 1/12/18</t>
  </si>
  <si>
    <t>B 35-18</t>
  </si>
  <si>
    <t>T 35-18</t>
  </si>
  <si>
    <t>AW 35-18</t>
  </si>
  <si>
    <t>36-18</t>
  </si>
  <si>
    <t xml:space="preserve">Co-Op Roof Replacement at Sherrill Park Golf Pro Shop and Pavilion and Canyon Creek Pool through TIPS </t>
  </si>
  <si>
    <t>AW 36-18</t>
  </si>
  <si>
    <t>Tri-Lam Roofing and Waterproofing</t>
  </si>
  <si>
    <t>TIPS 2092415</t>
  </si>
  <si>
    <t>37-18</t>
  </si>
  <si>
    <t>A/R/C Water &amp; Wastewater Materials</t>
  </si>
  <si>
    <t>2/8/18 &amp; 2/15/18</t>
  </si>
  <si>
    <t>B 37-18</t>
  </si>
  <si>
    <t>A 37-18-1</t>
  </si>
  <si>
    <t>T 37-18</t>
  </si>
  <si>
    <t>AW 37-18</t>
  </si>
  <si>
    <t>Core &amp; Main</t>
  </si>
  <si>
    <t>Ferguson Waterworks</t>
  </si>
  <si>
    <t>Fortiline Waterworks</t>
  </si>
  <si>
    <t>National Wholesale Supply</t>
  </si>
  <si>
    <t>38-18</t>
  </si>
  <si>
    <t>Microsoft Office 365 and Migration, Training, and Support Services through DIR and GSA Schedule 70</t>
  </si>
  <si>
    <t>AW 38-18</t>
  </si>
  <si>
    <t>SHI Government Solutions, Inc.</t>
  </si>
  <si>
    <t>Planet Technologies, Inc.</t>
  </si>
  <si>
    <t>DIR-SDD-2503 &amp; GSA GS-35F-0360J</t>
  </si>
  <si>
    <t>39-18</t>
  </si>
  <si>
    <t>Southbound Yale Boulevard Bridge at Duck Creek</t>
  </si>
  <si>
    <t>I 39-18</t>
  </si>
  <si>
    <t>2/22/18 &amp; 3/1/18</t>
  </si>
  <si>
    <t>B 39-18</t>
  </si>
  <si>
    <t>T 39-18</t>
  </si>
  <si>
    <t>AW 39-18</t>
  </si>
  <si>
    <t>Indus Road &amp; Bridge Inc.</t>
  </si>
  <si>
    <t>40-18</t>
  </si>
  <si>
    <t>Co-Op A/R/C Automotive Parts (551-17) and Tires, Tubes, Supplies and Equipment (553-18) through BuyBoard</t>
  </si>
  <si>
    <t>AW 40-18</t>
  </si>
  <si>
    <t>Southern Tire Mart</t>
  </si>
  <si>
    <t>The Goodyear Tire and Rubber Company</t>
  </si>
  <si>
    <t>Michelin North America</t>
  </si>
  <si>
    <t>BuyBoard 551-17 &amp; 553-18</t>
  </si>
  <si>
    <t>41-18</t>
  </si>
  <si>
    <t>A/R/C Video Imaging Vehicle Detection System</t>
  </si>
  <si>
    <t>B 41-18</t>
  </si>
  <si>
    <t>T 41-18</t>
  </si>
  <si>
    <t>AW 41-18</t>
  </si>
  <si>
    <t>ITS Plus, Inc.</t>
  </si>
  <si>
    <t>42-18</t>
  </si>
  <si>
    <t>A/R/C Graffiti Removal &amp; Wall Washing/Painting (Re-bid)</t>
  </si>
  <si>
    <t>3/6/18 &amp; 3/13/18</t>
  </si>
  <si>
    <t>B 42-18</t>
  </si>
  <si>
    <t>T 42-18</t>
  </si>
  <si>
    <t>AW 42-18</t>
  </si>
  <si>
    <t>Envirotek USA</t>
  </si>
  <si>
    <t>Real Estate Restoration</t>
  </si>
  <si>
    <t>43-18</t>
  </si>
  <si>
    <t>Co-Op Purchase of Various Vehicles through State of Texas Contract</t>
  </si>
  <si>
    <t>AW 43-18</t>
  </si>
  <si>
    <t>State Contract 071-A1 &amp; 072-A1</t>
  </si>
  <si>
    <t>44-18</t>
  </si>
  <si>
    <t>AW 44-18</t>
  </si>
  <si>
    <t>45-18</t>
  </si>
  <si>
    <t>Annual Contract for Alley Repair Program</t>
  </si>
  <si>
    <t>I 45-18</t>
  </si>
  <si>
    <t>4/4/18 &amp; 4/11/18</t>
  </si>
  <si>
    <t>B 45-18</t>
  </si>
  <si>
    <t>T 45-18</t>
  </si>
  <si>
    <t>AW 45-18</t>
  </si>
  <si>
    <t>46-18</t>
  </si>
  <si>
    <t>Co-Op A/R/C Traffic Signal Poles and Accessories</t>
  </si>
  <si>
    <t>AW 46-18</t>
  </si>
  <si>
    <t>Structural &amp; Steel Products, Inc.</t>
  </si>
  <si>
    <t>City of McKinney 17-01FP</t>
  </si>
  <si>
    <t>47-18</t>
  </si>
  <si>
    <t>AW 47-18</t>
  </si>
  <si>
    <t>Wastequip, LLC</t>
  </si>
  <si>
    <t>48-18</t>
  </si>
  <si>
    <t>Waterline Replacement Project (1100 Block of Greencove Lane)</t>
  </si>
  <si>
    <t>I 48-18</t>
  </si>
  <si>
    <t>5/1/18 &amp; 5/8/18</t>
  </si>
  <si>
    <t>B 48-18</t>
  </si>
  <si>
    <t>T 48-18</t>
  </si>
  <si>
    <t>AW 48-18</t>
  </si>
  <si>
    <t>Camino Construction LP</t>
  </si>
  <si>
    <t>49-18</t>
  </si>
  <si>
    <t>2015 Bond Program Paving and Drainage Improvements to Bradshaw Drive</t>
  </si>
  <si>
    <t>I 49-18</t>
  </si>
  <si>
    <t>4/13/18 &amp; 4/20/18</t>
  </si>
  <si>
    <t>B 49-18</t>
  </si>
  <si>
    <t>T 49-18</t>
  </si>
  <si>
    <t>AW 49-18</t>
  </si>
  <si>
    <t>XIT Paving and Construction, Inc.</t>
  </si>
  <si>
    <t>Partially reimbursed by City of Plano</t>
  </si>
  <si>
    <t>50-18</t>
  </si>
  <si>
    <t>A/R/C Eisemann Center Event Parking &amp; Garage Management Services</t>
  </si>
  <si>
    <t>7/25/18 &amp; 8/1/18</t>
  </si>
  <si>
    <t>B 50-18</t>
  </si>
  <si>
    <t>A 50-18-1</t>
  </si>
  <si>
    <t>A 50-18-2</t>
  </si>
  <si>
    <t>T 50-18</t>
  </si>
  <si>
    <t>AW 50-18</t>
  </si>
  <si>
    <t>Lanier Parking Solutions</t>
  </si>
  <si>
    <t>51-18</t>
  </si>
  <si>
    <t>Co-Op A/R/C CMOM Wastewater Mains Rehabilitation through BuyBoard</t>
  </si>
  <si>
    <t>AW 51-18</t>
  </si>
  <si>
    <t>Insituform Technologies, LLC</t>
  </si>
  <si>
    <t>BuyBoard 555-18</t>
  </si>
  <si>
    <t>52-18</t>
  </si>
  <si>
    <t>Co-Op A/R/C CMOM Wastewater Mains &amp; Manholes Rehabilitation through BuyBoard</t>
  </si>
  <si>
    <t>AW 52-18</t>
  </si>
  <si>
    <t>Fuquay, Inc.</t>
  </si>
  <si>
    <t>53-18</t>
  </si>
  <si>
    <t>Co-Op A/R/C Fire Department Uniforms through City of Frisco</t>
  </si>
  <si>
    <t>AW 53-18</t>
  </si>
  <si>
    <t>Red the Uniform Tailor</t>
  </si>
  <si>
    <t>City of Frisco 1405-067</t>
  </si>
  <si>
    <t>54-18</t>
  </si>
  <si>
    <t>Co-Op Purchase of F-450 Trucks through State of Texas Contract</t>
  </si>
  <si>
    <t>AW 54-18</t>
  </si>
  <si>
    <t>State Contract 072-A1</t>
  </si>
  <si>
    <t>55-18</t>
  </si>
  <si>
    <t>Co-Op A/R/C Regular Unleaded and TxLED through Tarrant County</t>
  </si>
  <si>
    <t>AW 55-18</t>
  </si>
  <si>
    <t>Martin Eagle Oil Company</t>
  </si>
  <si>
    <t>Douglass Distributing</t>
  </si>
  <si>
    <t>Tarrant County 2018-057</t>
  </si>
  <si>
    <t>56-18</t>
  </si>
  <si>
    <t>Co-Op A/R/C Custodial Services through BuyBoard</t>
  </si>
  <si>
    <t>AW 56-18</t>
  </si>
  <si>
    <t>ABM Texas General Services, Inc.</t>
  </si>
  <si>
    <t>57-18</t>
  </si>
  <si>
    <t>Prairie Creek Erosion Control Project</t>
  </si>
  <si>
    <t>I 57-18</t>
  </si>
  <si>
    <t>5/14/18 &amp; 5/21/18</t>
  </si>
  <si>
    <t>B 57-18</t>
  </si>
  <si>
    <t>T 57-18</t>
  </si>
  <si>
    <t>AW 57-18</t>
  </si>
  <si>
    <t>Austin Filter Systems, Inc.</t>
  </si>
  <si>
    <t>58-18</t>
  </si>
  <si>
    <t>Co-Op A/R/C Grounds Maintenance Equipment and Irrigation Parts through BuyBoard</t>
  </si>
  <si>
    <t>AW 58-18</t>
  </si>
  <si>
    <t>59-18</t>
  </si>
  <si>
    <t>Co-Op Purchase of One (1) Toro Field Sprayer through BuyBoard</t>
  </si>
  <si>
    <t>AW 59-18</t>
  </si>
  <si>
    <t>60-18</t>
  </si>
  <si>
    <t>West Belt Line Road at Inge Drive</t>
  </si>
  <si>
    <t>I 60-18</t>
  </si>
  <si>
    <t>8/29/18 &amp; 9/5/18</t>
  </si>
  <si>
    <t>B 60-18</t>
  </si>
  <si>
    <t>T 60-18</t>
  </si>
  <si>
    <t>AW 60-18</t>
  </si>
  <si>
    <t>Tiseo Paving Company</t>
  </si>
  <si>
    <t>61-18</t>
  </si>
  <si>
    <t>Parkview Estates Alley Project</t>
  </si>
  <si>
    <t>I 61-18</t>
  </si>
  <si>
    <t>6/5/18 &amp; 6/12/18</t>
  </si>
  <si>
    <t>B 61-18</t>
  </si>
  <si>
    <t>A 61-18-1</t>
  </si>
  <si>
    <t>T 61-18</t>
  </si>
  <si>
    <t>AW 61-18</t>
  </si>
  <si>
    <t>Muniz Construction, Inc.</t>
  </si>
  <si>
    <t>62-18</t>
  </si>
  <si>
    <t>Northlake Estates Alley Project</t>
  </si>
  <si>
    <t>I 62-18</t>
  </si>
  <si>
    <t>B 62-18</t>
  </si>
  <si>
    <t>T 62-18</t>
  </si>
  <si>
    <t>AW 62-18</t>
  </si>
  <si>
    <t>63-18</t>
  </si>
  <si>
    <t>2015 Street Rehabilitation Phase I &amp; II (700 Blk of Winchester &amp; Greenleaf)</t>
  </si>
  <si>
    <t>I 63-18</t>
  </si>
  <si>
    <t>6/19/18 &amp; 6/26/18</t>
  </si>
  <si>
    <t>B 63-18</t>
  </si>
  <si>
    <t>A 63-18-1</t>
  </si>
  <si>
    <t>T 63-18</t>
  </si>
  <si>
    <t>AW 63-18</t>
  </si>
  <si>
    <t>64-18</t>
  </si>
  <si>
    <t>Pinehurst/Lakeview and Utility Reconstruction III</t>
  </si>
  <si>
    <t>I 64-18</t>
  </si>
  <si>
    <t>6/20/18 &amp; 6/27/18</t>
  </si>
  <si>
    <t>B 64-18</t>
  </si>
  <si>
    <t>T 64-18</t>
  </si>
  <si>
    <t>AW 64-18</t>
  </si>
  <si>
    <t>65-18</t>
  </si>
  <si>
    <t>Greenway and Overlake Drive Alley Reconstruction</t>
  </si>
  <si>
    <t>I 65-18</t>
  </si>
  <si>
    <t>7/2/18 &amp; 7/9/18</t>
  </si>
  <si>
    <t>B 65-18</t>
  </si>
  <si>
    <t>T 65-18</t>
  </si>
  <si>
    <t>AW 65-18</t>
  </si>
  <si>
    <t>66-18</t>
  </si>
  <si>
    <t>Co-Op Purchase of APC Equipment for Public Safety Complex through DIR</t>
  </si>
  <si>
    <t>AW 66-18</t>
  </si>
  <si>
    <t>DIR-TSO-3359</t>
  </si>
  <si>
    <t>67-18</t>
  </si>
  <si>
    <t>**BID NUMBER NOT USED**</t>
  </si>
  <si>
    <t>68-18</t>
  </si>
  <si>
    <t>Co-Op JOC for Roof Replacement and Restoration through TIPS</t>
  </si>
  <si>
    <t>AW 68-18</t>
  </si>
  <si>
    <t>Simon Roofing</t>
  </si>
  <si>
    <t>TIPS 1012116 (JOC)</t>
  </si>
  <si>
    <t>69-18</t>
  </si>
  <si>
    <t>I 69-18</t>
  </si>
  <si>
    <t>7/5/18 &amp; 7/12/18</t>
  </si>
  <si>
    <t>B 69-18</t>
  </si>
  <si>
    <t>T 69-18</t>
  </si>
  <si>
    <t>70-18</t>
  </si>
  <si>
    <t>Co-Op Purchase of Five (5) Mobile Light Tower Trailers and Eighteen (18) Portable Generators through BuyBoard</t>
  </si>
  <si>
    <t>AW 70-18</t>
  </si>
  <si>
    <t>Clifford Power</t>
  </si>
  <si>
    <t>71-18</t>
  </si>
  <si>
    <t>Co-Op Purchase of Audio and Visual Broadcasting Equipment through DIR</t>
  </si>
  <si>
    <t>AW 71-18</t>
  </si>
  <si>
    <t>72-18</t>
  </si>
  <si>
    <t>Co-Op Purchase of Network Equipment for Network Core and Public Safety Complex through DIR</t>
  </si>
  <si>
    <t>AW 72-18</t>
  </si>
  <si>
    <t>DIR-TSO-2542</t>
  </si>
  <si>
    <t>73-18</t>
  </si>
  <si>
    <t>Co-Op Purchase of Data Storage through DIR</t>
  </si>
  <si>
    <t>AW 73-18</t>
  </si>
  <si>
    <t>74-18</t>
  </si>
  <si>
    <t>AW 74-18</t>
  </si>
  <si>
    <t>75-18</t>
  </si>
  <si>
    <t>A/R/C Tent Rentals for Special Events</t>
  </si>
  <si>
    <t>B 75-18</t>
  </si>
  <si>
    <t>A 75-18-1</t>
  </si>
  <si>
    <t>T 75-18</t>
  </si>
  <si>
    <t>AW 75-18</t>
  </si>
  <si>
    <t>Mike Sandone Productions, Inc.</t>
  </si>
  <si>
    <t>76-18</t>
  </si>
  <si>
    <t>Co-Op A/R/C for Chevrolet Automotive and Light Truck OEM Parts through City of Plano Contract #2018-0388-C</t>
  </si>
  <si>
    <t>AW 76-18</t>
  </si>
  <si>
    <t>Friendly Chevrolet</t>
  </si>
  <si>
    <t>City of Plano 2018-0388-C</t>
  </si>
  <si>
    <t>77-18</t>
  </si>
  <si>
    <t>Co-Op Purchase of City Hall HVAC Duct Cleaning</t>
  </si>
  <si>
    <t>AW 77-18</t>
  </si>
  <si>
    <t>Blackmon Mooring</t>
  </si>
  <si>
    <t>TCPN R142502</t>
  </si>
  <si>
    <t>78-18</t>
  </si>
  <si>
    <t>Annual Pavement Repair Contract for Residential Areas</t>
  </si>
  <si>
    <t>I 78-18</t>
  </si>
  <si>
    <t>9/7/18 &amp; 9/14/18</t>
  </si>
  <si>
    <t>B 78-18</t>
  </si>
  <si>
    <t>T 78-18</t>
  </si>
  <si>
    <t>AW 78-18</t>
  </si>
  <si>
    <t>79-18</t>
  </si>
  <si>
    <t>Annual Pavement Repair Contract for Arterial Roads</t>
  </si>
  <si>
    <t>I 79-18</t>
  </si>
  <si>
    <t>B 79-18</t>
  </si>
  <si>
    <t>T 79-18</t>
  </si>
  <si>
    <t>AW 79-18</t>
  </si>
  <si>
    <t>80-18</t>
  </si>
  <si>
    <t>I 80-18</t>
  </si>
  <si>
    <t>B 80-18</t>
  </si>
  <si>
    <t>T 80-18</t>
  </si>
  <si>
    <t>AW 80-18</t>
  </si>
  <si>
    <t>EJ Smith Construction, LLC</t>
  </si>
  <si>
    <t>81-18</t>
  </si>
  <si>
    <t>Co-Op JOC for City Hall Security Enhancements through BuyBoard</t>
  </si>
  <si>
    <t>AW 81-18</t>
  </si>
  <si>
    <t>82-18</t>
  </si>
  <si>
    <t>2015 Residential Sidewalk Replacement Program Region 2</t>
  </si>
  <si>
    <t>I 82-18</t>
  </si>
  <si>
    <t>9/5/18 &amp; 9/12/18</t>
  </si>
  <si>
    <t>B 82-18</t>
  </si>
  <si>
    <t>T 82-18</t>
  </si>
  <si>
    <t>AW 82-18</t>
  </si>
  <si>
    <t>501-18</t>
  </si>
  <si>
    <t>A/R/C Bagged Ice</t>
  </si>
  <si>
    <t>B 501-18</t>
  </si>
  <si>
    <t>T 501-18</t>
  </si>
  <si>
    <t>Reddy Ice Corporation</t>
  </si>
  <si>
    <t>502-18</t>
  </si>
  <si>
    <t>A/R/C High Speed Copying/Printing</t>
  </si>
  <si>
    <t>B 502-18</t>
  </si>
  <si>
    <t>T 502-18</t>
  </si>
  <si>
    <t>Limitless Products LLC</t>
  </si>
  <si>
    <t>503-18</t>
  </si>
  <si>
    <t>A/R/C Fitness Equipment Preventive Maintenance &amp; Repairs</t>
  </si>
  <si>
    <t>504-18</t>
  </si>
  <si>
    <t>A/R/C Golf Course Accessories</t>
  </si>
  <si>
    <t>B 504-18</t>
  </si>
  <si>
    <t>T 504-18</t>
  </si>
  <si>
    <t>Gail's Flags Inc.</t>
  </si>
  <si>
    <t>505-18</t>
  </si>
  <si>
    <t>A/R/C Transportation for Wildflower! Festival</t>
  </si>
  <si>
    <t>B 505-18</t>
  </si>
  <si>
    <t>T 505-18</t>
  </si>
  <si>
    <t>506-18</t>
  </si>
  <si>
    <t>A/R/C Directional Boring Labor &amp; Material</t>
  </si>
  <si>
    <t>B 506-18</t>
  </si>
  <si>
    <t>T 506-18</t>
  </si>
  <si>
    <t>507-18</t>
  </si>
  <si>
    <t>A/R/C Sherrill Park Golf Course Grounds Maintenance</t>
  </si>
  <si>
    <t>B 507-18</t>
  </si>
  <si>
    <t>T 507-18</t>
  </si>
  <si>
    <t>WCD Enterprises, LLC</t>
  </si>
  <si>
    <t>508-18</t>
  </si>
  <si>
    <t>A/R/C Operation of Vehicle Storage Facility and Wrecker Service</t>
  </si>
  <si>
    <t>**Quotes**</t>
  </si>
  <si>
    <t>Signature Towing</t>
  </si>
  <si>
    <t>509-18</t>
  </si>
  <si>
    <t>A/R/C Temporary Chain Link Fencing, Crowd Control Panels &amp; Accessories</t>
  </si>
  <si>
    <t>B 509-18</t>
  </si>
  <si>
    <t>T 509-18</t>
  </si>
  <si>
    <t>Viking Fence Company, LTD</t>
  </si>
  <si>
    <t>510-18</t>
  </si>
  <si>
    <t>A/R/C Wildflower VIP Viewing Platforms</t>
  </si>
  <si>
    <t>B 510-18</t>
  </si>
  <si>
    <t>T 510-18</t>
  </si>
  <si>
    <t>511-18</t>
  </si>
  <si>
    <t>A/R/C Preventive Maintenance &amp; Repairs of HVAC Trane System</t>
  </si>
  <si>
    <t>B 511-18</t>
  </si>
  <si>
    <t>T 511-18</t>
  </si>
  <si>
    <t>Anglin Services LLC</t>
  </si>
  <si>
    <t>512-18</t>
  </si>
  <si>
    <t>City-Wide Survey</t>
  </si>
  <si>
    <t>B 512-18</t>
  </si>
  <si>
    <t>T 512-18</t>
  </si>
  <si>
    <t>Metroplex Mail Company</t>
  </si>
  <si>
    <t>513-18</t>
  </si>
  <si>
    <t>A/R/C Supply Ice Merchandisers and Bagged Ice</t>
  </si>
  <si>
    <t>B 513-18</t>
  </si>
  <si>
    <t>A 513-18-1</t>
  </si>
  <si>
    <t>T 513-18</t>
  </si>
  <si>
    <t>Emergency Ice, Inc.</t>
  </si>
  <si>
    <t>Re-bid of 501-18 due to early contract termination</t>
  </si>
  <si>
    <t xml:space="preserve">514-18 </t>
  </si>
  <si>
    <t>A/R/C Traffic Sign Post Materials</t>
  </si>
  <si>
    <t>B 514-18</t>
  </si>
  <si>
    <t>T 514-18</t>
  </si>
  <si>
    <t>515-18</t>
  </si>
  <si>
    <t xml:space="preserve">A/R/C Linen Rentals </t>
  </si>
  <si>
    <t>B 515-18</t>
  </si>
  <si>
    <t>T 515-18</t>
  </si>
  <si>
    <t>Signature Linen Service</t>
  </si>
  <si>
    <t>516-18</t>
  </si>
  <si>
    <t>A/R/C Installation, Removal, &amp; Storage of Street Banners</t>
  </si>
  <si>
    <t>B 516-18</t>
  </si>
  <si>
    <t>T 516-18</t>
  </si>
  <si>
    <t>Hi-Lo Lift Truck</t>
  </si>
  <si>
    <t>517-18</t>
  </si>
  <si>
    <t>A/R/C Document Scanning Services</t>
  </si>
  <si>
    <t>B 517-18</t>
  </si>
  <si>
    <t>A 517-18-1</t>
  </si>
  <si>
    <t>T 517-18</t>
  </si>
  <si>
    <t>Compu-Data International, LLC</t>
  </si>
  <si>
    <t>518-18</t>
  </si>
  <si>
    <t>A/R/C: Golf Car &amp; Flatbed Rentals</t>
  </si>
  <si>
    <t>B 518-18</t>
  </si>
  <si>
    <t>T 518-18</t>
  </si>
  <si>
    <t>American Golf Cars</t>
  </si>
  <si>
    <t>519-18</t>
  </si>
  <si>
    <t>A/R/C: LED Screens for Wildflower Festival</t>
  </si>
  <si>
    <t>B 519-18</t>
  </si>
  <si>
    <t>T 519-18</t>
  </si>
  <si>
    <t>701-18</t>
  </si>
  <si>
    <t>Co-Op EMS Billing and Collection Services</t>
  </si>
  <si>
    <t>AW 701-18</t>
  </si>
  <si>
    <t>Digitech Computer Inc.</t>
  </si>
  <si>
    <t>City of Mesquite RFP 2016-086</t>
  </si>
  <si>
    <t>702-18</t>
  </si>
  <si>
    <t>Custom Vending Machine Recycling Bag Dispenser</t>
  </si>
  <si>
    <t>B 702-18</t>
  </si>
  <si>
    <t>Vending Professionals LLC</t>
  </si>
  <si>
    <t>703-18</t>
  </si>
  <si>
    <t>Post 65 Retiree Insurance Plans (Medical/Prescription and Dental)</t>
  </si>
  <si>
    <t>7/12/18 &amp; 7/19/18</t>
  </si>
  <si>
    <t>B 703-18</t>
  </si>
  <si>
    <t>A 703-18-1</t>
  </si>
  <si>
    <t>A 703-18-2</t>
  </si>
  <si>
    <t>United Healthcare</t>
  </si>
  <si>
    <t>Humana</t>
  </si>
  <si>
    <t>901-18</t>
  </si>
  <si>
    <t>Council Chambers Audio Visual Upgrades</t>
  </si>
  <si>
    <t>I 901-18</t>
  </si>
  <si>
    <t>3/13/18 &amp; 3/20/18</t>
  </si>
  <si>
    <t>B 901-18</t>
  </si>
  <si>
    <t>A 901-18-1</t>
  </si>
  <si>
    <t>A 901-18-2</t>
  </si>
  <si>
    <t>T 901-18</t>
  </si>
  <si>
    <t>AW 901-18</t>
  </si>
  <si>
    <t>Idea Construction</t>
  </si>
  <si>
    <t>902-18</t>
  </si>
  <si>
    <t>Spring Creek Nature Area Portals</t>
  </si>
  <si>
    <t>I 902-18</t>
  </si>
  <si>
    <t>8/16/18 &amp; 8/23/18</t>
  </si>
  <si>
    <t>B 902-18</t>
  </si>
  <si>
    <t>A 902-18-1</t>
  </si>
  <si>
    <t>A 902-18-2</t>
  </si>
  <si>
    <t>T 902-18</t>
  </si>
  <si>
    <t>AW 902-18</t>
  </si>
  <si>
    <t>NO. 5</t>
  </si>
  <si>
    <t>2018-01</t>
  </si>
  <si>
    <t>Collins/Arapaho Transit-Oriented Development and Innovation District Study</t>
  </si>
  <si>
    <t>B 2018-01</t>
  </si>
  <si>
    <t>Interface Studio, LLC</t>
  </si>
  <si>
    <t>2018-02</t>
  </si>
  <si>
    <t>Engineering Design Services for Campbell Road</t>
  </si>
  <si>
    <t>B 2018-02</t>
  </si>
  <si>
    <t>2018-03</t>
  </si>
  <si>
    <t>Public Safety Campus Furniture</t>
  </si>
  <si>
    <t>5/25/18 &amp; 6/1/18</t>
  </si>
  <si>
    <t>B 2018-03</t>
  </si>
  <si>
    <t>A 2018-03-1</t>
  </si>
  <si>
    <t>A 2018-03-2</t>
  </si>
  <si>
    <t>A 2018-03-3</t>
  </si>
  <si>
    <t>A 2018-03-4</t>
  </si>
  <si>
    <t>AW 2018-03</t>
  </si>
  <si>
    <t>GL Seaman &amp; Company</t>
  </si>
  <si>
    <t>Various Cooperatives</t>
  </si>
  <si>
    <t>2018-04</t>
  </si>
  <si>
    <t>Richardson Senior Center Renovation</t>
  </si>
  <si>
    <t>B 2018-04</t>
  </si>
  <si>
    <t>A 2018-04-1</t>
  </si>
  <si>
    <t>PGAL, Inc.</t>
  </si>
  <si>
    <t>1001-18</t>
  </si>
  <si>
    <t>I 30-21</t>
  </si>
  <si>
    <t>I 33-21</t>
  </si>
  <si>
    <t>T 501-21</t>
  </si>
  <si>
    <t>2/8/21, 2/15/21, 2/22/21</t>
  </si>
  <si>
    <t>Crescent Contractors, Inc.</t>
  </si>
  <si>
    <t>34-21</t>
  </si>
  <si>
    <t>BuyBoard 639-21</t>
  </si>
  <si>
    <t>35-21</t>
  </si>
  <si>
    <t>Co-Op Purchase of Hill-Robberson House Relocation Project through BuyBoard</t>
  </si>
  <si>
    <t>BuyBoard 556-18</t>
  </si>
  <si>
    <t>B 29-21</t>
  </si>
  <si>
    <t>B 30-21</t>
  </si>
  <si>
    <t>B 33-21</t>
  </si>
  <si>
    <t>I 25-21</t>
  </si>
  <si>
    <t>AW 12-21</t>
  </si>
  <si>
    <t>36-21</t>
  </si>
  <si>
    <t>BuyBoard 636-21</t>
  </si>
  <si>
    <t>37-21</t>
  </si>
  <si>
    <t>Air Compressor and Associated Equipment Replacement and Installation for Galatyn Fountain</t>
  </si>
  <si>
    <t>503-21</t>
  </si>
  <si>
    <t>A 30-21</t>
  </si>
  <si>
    <t>A2 30-21</t>
  </si>
  <si>
    <t>A 33-21</t>
  </si>
  <si>
    <t>B 25-21</t>
  </si>
  <si>
    <t>B 503-21</t>
  </si>
  <si>
    <t>T 31-21</t>
  </si>
  <si>
    <t>Ingersoll Rand</t>
  </si>
  <si>
    <t>Southern Tire Mart LLC</t>
  </si>
  <si>
    <t>Goodyear Tire and Rubber Company</t>
  </si>
  <si>
    <t>Michelin North America, Inc.</t>
  </si>
  <si>
    <t>H.D. Snow House Moving</t>
  </si>
  <si>
    <t>ABM Industries Inc.</t>
  </si>
  <si>
    <t>A 25-21</t>
  </si>
  <si>
    <t>A 32-21</t>
  </si>
  <si>
    <t>A2 33-21</t>
  </si>
  <si>
    <t>T 29-21</t>
  </si>
  <si>
    <t>T 30-21</t>
  </si>
  <si>
    <t>AW 34-21</t>
  </si>
  <si>
    <t>AW 35-21</t>
  </si>
  <si>
    <t>AW 36-21</t>
  </si>
  <si>
    <t>AW 37-21</t>
  </si>
  <si>
    <t>38-21</t>
  </si>
  <si>
    <t>Co-Op A/R/C Tires, Tubes, Supplies, and Equipment through BuyBoard</t>
  </si>
  <si>
    <t>Co-Op Purchase and Installation of Central System Software for Transportation &amp; Mobility through BuyBoard</t>
  </si>
  <si>
    <t>Site One Landscape Supply</t>
  </si>
  <si>
    <t>Longhorn, Inc.</t>
  </si>
  <si>
    <t>Lined Right Athletic Field Marking</t>
  </si>
  <si>
    <t>Texas Highway Products</t>
  </si>
  <si>
    <t>T 25-21</t>
  </si>
  <si>
    <t>T 32-21</t>
  </si>
  <si>
    <t>T 33-21</t>
  </si>
  <si>
    <t>T 502-21</t>
  </si>
  <si>
    <t>AW 31-21</t>
  </si>
  <si>
    <t>AW 32-21</t>
  </si>
  <si>
    <t>AW 38-21</t>
  </si>
  <si>
    <t>39-21</t>
  </si>
  <si>
    <t>Co-Op Purchase of Sports Field Maintenance Enhancements through BuyBoard</t>
  </si>
  <si>
    <t>Belt Line Road Valve Improvement @ Plano Rd &amp; Yale Blvd</t>
  </si>
  <si>
    <t>3/24/21, 3/31/21, 4/7/21</t>
  </si>
  <si>
    <t>2/3/21, 2/10/21, 2/17/21</t>
  </si>
  <si>
    <t>702-21</t>
  </si>
  <si>
    <t>A/R/C Hauling of Construction Debris</t>
  </si>
  <si>
    <t>504-21</t>
  </si>
  <si>
    <t>A/R/C Clean Up Services for Special Events</t>
  </si>
  <si>
    <t>40-21</t>
  </si>
  <si>
    <t>A/R/C Ready Mix Concrete</t>
  </si>
  <si>
    <t>41-21</t>
  </si>
  <si>
    <t>Sports Field Solutions</t>
  </si>
  <si>
    <t>BuyBoard 560-18</t>
  </si>
  <si>
    <t>A&amp;B Construction</t>
  </si>
  <si>
    <t>MHB Construction</t>
  </si>
  <si>
    <t>AW 25-21</t>
  </si>
  <si>
    <t>AW 29-21</t>
  </si>
  <si>
    <t>AW 30-21</t>
  </si>
  <si>
    <t>AW 33-21</t>
  </si>
  <si>
    <t>AW 39-21</t>
  </si>
  <si>
    <t>42-21</t>
  </si>
  <si>
    <t>Co-Op Purchase of Equipment for Police Vehicles through BuyBoard</t>
  </si>
  <si>
    <t>I 28-21</t>
  </si>
  <si>
    <t>3/25/21 &amp; 4/1/21</t>
  </si>
  <si>
    <t>A 28-21</t>
  </si>
  <si>
    <t>B 28-21</t>
  </si>
  <si>
    <t>B 702-21</t>
  </si>
  <si>
    <t>43-21</t>
  </si>
  <si>
    <t xml:space="preserve">A/R/C Furnishment and Installation of Sod </t>
  </si>
  <si>
    <t>4/6/21 &amp; 4/13/21</t>
  </si>
  <si>
    <t>4/12/21 &amp; 4/19/21</t>
  </si>
  <si>
    <t>B 40-21</t>
  </si>
  <si>
    <t>B 43-21</t>
  </si>
  <si>
    <t>AW 42-21</t>
  </si>
  <si>
    <t>44-21</t>
  </si>
  <si>
    <t>45-21</t>
  </si>
  <si>
    <t>Co-Op Purchase of Electronic Traffic Signal Cabinet Locks through HGAC</t>
  </si>
  <si>
    <t>4/19/21, 4/26/21, 5/3/21</t>
  </si>
  <si>
    <t>Richardson Saw &amp; Lawnmower Co.</t>
  </si>
  <si>
    <t>Information Current as of April 30, 2021</t>
  </si>
  <si>
    <t>T 28-21</t>
  </si>
  <si>
    <t>B 504-21</t>
  </si>
  <si>
    <t>T 503-21</t>
  </si>
  <si>
    <t>AW 45-21</t>
  </si>
  <si>
    <t>AW 44-21</t>
  </si>
  <si>
    <t>B 41-21</t>
  </si>
  <si>
    <t>I 41-21</t>
  </si>
  <si>
    <t>T 40-21</t>
  </si>
  <si>
    <t>46-21</t>
  </si>
  <si>
    <t>47-21</t>
  </si>
  <si>
    <t>A/R/C Recycle &amp; Trash Bags</t>
  </si>
  <si>
    <t>48-21</t>
  </si>
  <si>
    <t>703-21</t>
  </si>
  <si>
    <t>5/12/21 &amp; 5/19/21</t>
  </si>
  <si>
    <t>704-21</t>
  </si>
  <si>
    <t>B 46-21</t>
  </si>
  <si>
    <t>5/20/21 &amp; 5/27/21</t>
  </si>
  <si>
    <t>A/R/C Printing &amp; Mailing Services - Municipal Utilities</t>
  </si>
  <si>
    <t>5/19/21 &amp; 5/26/21</t>
  </si>
  <si>
    <t>A/R/C Stage Labor &amp; Technical Services for the Charles W. Eisemann Center</t>
  </si>
  <si>
    <t>5/28/21, 6/4/21, 6/11/21</t>
  </si>
  <si>
    <t>A 504-21</t>
  </si>
  <si>
    <t>A 46-21</t>
  </si>
  <si>
    <t>A 703-21</t>
  </si>
  <si>
    <t>B 47-21</t>
  </si>
  <si>
    <t>T 41-21</t>
  </si>
  <si>
    <t>T 43-21</t>
  </si>
  <si>
    <t>B 703-21</t>
  </si>
  <si>
    <t>OMNIA Partners 15-JLP-023 and BuyBoard 638-21</t>
  </si>
  <si>
    <t>Co-Op Purchase of City Hall Chillers and AHU 1-4 Replacement through OMNIA Partners and BuyBoard</t>
  </si>
  <si>
    <t>Argos USA, LLC</t>
  </si>
  <si>
    <t>CANCELED</t>
  </si>
  <si>
    <t>Pharmacy Benefit Manager</t>
  </si>
  <si>
    <t>A 47-21</t>
  </si>
  <si>
    <t>A2 46-21</t>
  </si>
  <si>
    <t>A3 46-21</t>
  </si>
  <si>
    <t>B 901-21</t>
  </si>
  <si>
    <t>AW 40-21</t>
  </si>
  <si>
    <t>6/10/21 &amp; 6/17/21</t>
  </si>
  <si>
    <t>XIT Paving and Construction</t>
  </si>
  <si>
    <t>Intercon Construction Co.</t>
  </si>
  <si>
    <t>B 704-21</t>
  </si>
  <si>
    <t>AW 28-21</t>
  </si>
  <si>
    <t>AW 43-21</t>
  </si>
  <si>
    <t>AW 48-21</t>
  </si>
  <si>
    <t>AW 702-21</t>
  </si>
  <si>
    <t>49-21</t>
  </si>
  <si>
    <t>Co-Op Purchase of School Flashers Upgrade through BuyBoard</t>
  </si>
  <si>
    <t>50-21</t>
  </si>
  <si>
    <t>HGAC PE05-21</t>
  </si>
  <si>
    <t>T 504-21</t>
  </si>
  <si>
    <t>A 704-21</t>
  </si>
  <si>
    <t>ACT Event Services</t>
  </si>
  <si>
    <t>51-21</t>
  </si>
  <si>
    <t>North Alley and Utility Reconstruction Block 800 Fontana Ave. and North Alley Reconstruction Block 500 For West Shore Drive</t>
  </si>
  <si>
    <t>52-21</t>
  </si>
  <si>
    <t>2021 Asphalt Overlay Program</t>
  </si>
  <si>
    <t>A 901-21</t>
  </si>
  <si>
    <t>A2 901-21</t>
  </si>
  <si>
    <t>A3 901-21</t>
  </si>
  <si>
    <t>T 46-21</t>
  </si>
  <si>
    <t>6/30/21, 7/7/21, 7/14/21</t>
  </si>
  <si>
    <t>53-21</t>
  </si>
  <si>
    <t>Co-Op Purchase of Three (3) Ford Interceptor Hybrid Police Pursuit Vehicles through Tarrant County</t>
  </si>
  <si>
    <t>Tarrant County 2020-174</t>
  </si>
  <si>
    <t>54-21</t>
  </si>
  <si>
    <t>Co-Op Purchase of Project Management System through TIPS</t>
  </si>
  <si>
    <t>55-21</t>
  </si>
  <si>
    <t>Co-Op A/R/C Repair and Maintenance of Outdoor Sirens through City of Arlington</t>
  </si>
  <si>
    <t>Arlington 21-0097</t>
  </si>
  <si>
    <t>TIPS 200105</t>
  </si>
  <si>
    <t>Cottonwood Creek Basin Manhole Replacements</t>
  </si>
  <si>
    <t>7/12/21, 7/19/21, 7/26/21</t>
  </si>
  <si>
    <t>A2 704-21</t>
  </si>
  <si>
    <t>I 51-21</t>
  </si>
  <si>
    <t>I 52-21</t>
  </si>
  <si>
    <t>I 901-21</t>
  </si>
  <si>
    <t>T 901-21</t>
  </si>
  <si>
    <t>T 47-21</t>
  </si>
  <si>
    <t>KIK Underground</t>
  </si>
  <si>
    <t>Show Masters Production Logistics, Inc.</t>
  </si>
  <si>
    <t>Paradigm Traffic Systems, Inc.</t>
  </si>
  <si>
    <t>Systemates, Inc.</t>
  </si>
  <si>
    <t>Joe Goddard Enterprises</t>
  </si>
  <si>
    <t>56-21</t>
  </si>
  <si>
    <t>57-21</t>
  </si>
  <si>
    <t>Animal Shelter Kennel Renovation</t>
  </si>
  <si>
    <t>58-21</t>
  </si>
  <si>
    <t>59-21</t>
  </si>
  <si>
    <t xml:space="preserve">A/R/C Debris Removal and Disposal Services </t>
  </si>
  <si>
    <t>60-21</t>
  </si>
  <si>
    <t xml:space="preserve">A/R/C Debris Monitoring and Consulting Services </t>
  </si>
  <si>
    <t>7/14/21 &amp; 7/21/21</t>
  </si>
  <si>
    <t>A/R/C Temporary General and Heavy Labor Services</t>
  </si>
  <si>
    <t>61-21</t>
  </si>
  <si>
    <t>B 52-21</t>
  </si>
  <si>
    <t>AW 41-21</t>
  </si>
  <si>
    <t>AW 47-21</t>
  </si>
  <si>
    <t>AW 49-21</t>
  </si>
  <si>
    <t>AW 50-21</t>
  </si>
  <si>
    <t>AW 53-21</t>
  </si>
  <si>
    <t>AW 54-21</t>
  </si>
  <si>
    <t>AW 55-21</t>
  </si>
  <si>
    <t>General Engineering Consultant Program Management Services for the 2021 Bond Program &amp; Capital Improvement Plan</t>
  </si>
  <si>
    <t>62-21</t>
  </si>
  <si>
    <t>Co-Op A/R/C Emergency Generator Maintenance through BuyBoard</t>
  </si>
  <si>
    <t>BuyBoard 597-19</t>
  </si>
  <si>
    <t>63-21</t>
  </si>
  <si>
    <t>A/R/C Tree Watering</t>
  </si>
  <si>
    <t>64-21</t>
  </si>
  <si>
    <t>A/R/C Embroidered Items</t>
  </si>
  <si>
    <t>65-21</t>
  </si>
  <si>
    <t>A/R/C Fire Hydrant Parts</t>
  </si>
  <si>
    <t>7/19/21 &amp; 7/26/21</t>
  </si>
  <si>
    <t>7/26/21, 8/2/21, 8/9/21</t>
  </si>
  <si>
    <t>66-21</t>
  </si>
  <si>
    <t>A/R/C Security &amp; Ushering Services at the Charles W. Eisemann Center</t>
  </si>
  <si>
    <t>7/19/21 &amp; 726/21</t>
  </si>
  <si>
    <t>B 51-21</t>
  </si>
  <si>
    <t>B 56-21</t>
  </si>
  <si>
    <t>B 58-21</t>
  </si>
  <si>
    <t>B 59-21</t>
  </si>
  <si>
    <t>B 60-21</t>
  </si>
  <si>
    <t>B 2021-01</t>
  </si>
  <si>
    <t>I 57-21</t>
  </si>
  <si>
    <t>I 2021-01</t>
  </si>
  <si>
    <t>67-21</t>
  </si>
  <si>
    <t>Co-Op Purchase of Asbestos Abatement for 1302 E. Collins Blvd through TIPS</t>
  </si>
  <si>
    <t>TIPS 19100202</t>
  </si>
  <si>
    <t>68-21</t>
  </si>
  <si>
    <t>Ratification of Co-Op Purchase of Cisco Network Equipment through DIR</t>
  </si>
  <si>
    <t>7/21/21 &amp; 7/28/21</t>
  </si>
  <si>
    <t>7/27/21 &amp; 8/3/21</t>
  </si>
  <si>
    <t>A 2021-01</t>
  </si>
  <si>
    <t>B 57-21</t>
  </si>
  <si>
    <t>B 63-21</t>
  </si>
  <si>
    <t>B 65-21</t>
  </si>
  <si>
    <t>T 52-21</t>
  </si>
  <si>
    <t>Waukesha-Pearce Industries, LLC</t>
  </si>
  <si>
    <t>1302 E. Collins Blvd. Renovation</t>
  </si>
  <si>
    <t>Intercon Environmental, Inc.</t>
  </si>
  <si>
    <t>Mart, Inc.</t>
  </si>
  <si>
    <t>A 59-21</t>
  </si>
  <si>
    <t>A2 2021-01</t>
  </si>
  <si>
    <t>T 56-21</t>
  </si>
  <si>
    <t>AW 62-21</t>
  </si>
  <si>
    <t>AW 67-21</t>
  </si>
  <si>
    <t>AW 68-21</t>
  </si>
  <si>
    <t>AW 901-21</t>
  </si>
  <si>
    <t>705-21</t>
  </si>
  <si>
    <t>Post 65 Retiree Insurance Plans</t>
  </si>
  <si>
    <t>7/11/21 &amp; 7/18/21</t>
  </si>
  <si>
    <t>69-21</t>
  </si>
  <si>
    <t>Co-Op Purchase of Information Technology Equipment Through DIR</t>
  </si>
  <si>
    <t>DIR-TSO-4167 and DIR-TSO-3763</t>
  </si>
  <si>
    <t>DataVox, Inc.</t>
  </si>
  <si>
    <t>Martin Marietta Materials, Inc.</t>
  </si>
  <si>
    <t>Peachtree Construction</t>
  </si>
  <si>
    <t>70-21</t>
  </si>
  <si>
    <t>T 51-21</t>
  </si>
  <si>
    <t>T 58-21</t>
  </si>
  <si>
    <t>8/5/21 &amp; 8/12/21</t>
  </si>
  <si>
    <t>8/9/21 &amp; 8/16/21</t>
  </si>
  <si>
    <t>2021 Open Channel Maintenance Project ‐ Summer</t>
  </si>
  <si>
    <t>A 57-21</t>
  </si>
  <si>
    <t>A 64-21</t>
  </si>
  <si>
    <t>A 705-21</t>
  </si>
  <si>
    <t>B 64-21</t>
  </si>
  <si>
    <t>B 66-21</t>
  </si>
  <si>
    <t>B 705-21</t>
  </si>
  <si>
    <t>AW 52-21</t>
  </si>
  <si>
    <t>AW 58-21</t>
  </si>
  <si>
    <t>AW 69-21</t>
  </si>
  <si>
    <t>8/26/21, 9/2/21, 9/9/21</t>
  </si>
  <si>
    <t>2021-02</t>
  </si>
  <si>
    <t>Co-Op A/R/C Radios</t>
  </si>
  <si>
    <t>2021-03</t>
  </si>
  <si>
    <t>Consultant Services for Richardson Active Transportation Plan</t>
  </si>
  <si>
    <t>Consultant Services for Richardson Parks, Recreation, and Open Space Master Plan</t>
  </si>
  <si>
    <t>71-21</t>
  </si>
  <si>
    <t>BuyBoard 649-21</t>
  </si>
  <si>
    <t>DIR-TSO-4101</t>
  </si>
  <si>
    <t>72-21</t>
  </si>
  <si>
    <t>9/7/21 &amp; 9/14/21</t>
  </si>
  <si>
    <t>73-21</t>
  </si>
  <si>
    <t>Sterling McCall Ford</t>
  </si>
  <si>
    <t>PeopleReady, Inc.</t>
  </si>
  <si>
    <t>Results Staffing, Inc.</t>
  </si>
  <si>
    <t>Zodega Landscape Services</t>
  </si>
  <si>
    <t>Eagle Brush &amp; Chemical</t>
  </si>
  <si>
    <t>A2 705-21</t>
  </si>
  <si>
    <t>B 70-21</t>
  </si>
  <si>
    <t>I 70-21</t>
  </si>
  <si>
    <t>I 2021-02</t>
  </si>
  <si>
    <t>I 2021-03</t>
  </si>
  <si>
    <t>T 57-21</t>
  </si>
  <si>
    <t>T 63-21</t>
  </si>
  <si>
    <t>74-21</t>
  </si>
  <si>
    <t>HGAC FS12-19</t>
  </si>
  <si>
    <t>Co-Op Purchase of One (1) MICU for Fire Station No. 2 through HGAC</t>
  </si>
  <si>
    <t>Co-Op Purchase of One (1) Pierce Enforcer 4-Door Single Axle Walk-in Heavy Rescue Body for Fire Station No. 5 through HGAC</t>
  </si>
  <si>
    <t>B 2021-02</t>
  </si>
  <si>
    <t>B 2021-03</t>
  </si>
  <si>
    <t>AW 56-21</t>
  </si>
  <si>
    <t>AW 61-21</t>
  </si>
  <si>
    <t>AW 63-21</t>
  </si>
  <si>
    <t>AW 71-21</t>
  </si>
  <si>
    <t>AW 72-21</t>
  </si>
  <si>
    <t>AW 73-21</t>
  </si>
  <si>
    <t>75-21</t>
  </si>
  <si>
    <t>Co-Op Purchase of Huffhines Recreation Center Roof Top Units #1 &amp; #2 Replacement through OMNIA Partners and BuyBoard</t>
  </si>
  <si>
    <t>Co-Op A/R/C Water and Wastewater Pumping Equipment Repair and Maintenance through City of Plano</t>
  </si>
  <si>
    <t>Plano 2021-0125-AC</t>
  </si>
  <si>
    <t>Legacy Contracting dba Control Specialist Services</t>
  </si>
  <si>
    <t>Siddons-Martin Emergency Group</t>
  </si>
  <si>
    <t>Logotology</t>
  </si>
  <si>
    <t>Thompson Consulting Services</t>
  </si>
  <si>
    <t>Rostan Solutions</t>
  </si>
  <si>
    <t>DebrisTech</t>
  </si>
  <si>
    <t>Ceres Environmental</t>
  </si>
  <si>
    <t>CrowderGulf</t>
  </si>
  <si>
    <t>DRC Emergency Services</t>
  </si>
  <si>
    <t>Acumen Enterprises</t>
  </si>
  <si>
    <t>DFW Services</t>
  </si>
  <si>
    <t>A 2021-02</t>
  </si>
  <si>
    <t>A 2021-03</t>
  </si>
  <si>
    <t>T 59-21</t>
  </si>
  <si>
    <t>T 60-21</t>
  </si>
  <si>
    <t>T 64-21</t>
  </si>
  <si>
    <t>T 65-21</t>
  </si>
  <si>
    <t>AW 51-21</t>
  </si>
  <si>
    <t>AW 57-21</t>
  </si>
  <si>
    <t>AW 59-21</t>
  </si>
  <si>
    <t>AW 60-21</t>
  </si>
  <si>
    <t>AW 64-21</t>
  </si>
  <si>
    <t>AW 74-21</t>
  </si>
  <si>
    <t>AW 75-21</t>
  </si>
  <si>
    <t>Dyna Pak Corporation</t>
  </si>
  <si>
    <t>FISCAL YEAR 2021-2022</t>
  </si>
  <si>
    <t>01-22</t>
  </si>
  <si>
    <t>I 01-22</t>
  </si>
  <si>
    <t>9/20/21, 9/27/21, 10/4/21</t>
  </si>
  <si>
    <t>B 01-22</t>
  </si>
  <si>
    <t>02-22</t>
  </si>
  <si>
    <t>Custer Road Improvements (Between Arapaho Road and Campbell Road)</t>
  </si>
  <si>
    <t>I 02-22</t>
  </si>
  <si>
    <t>9/28/21, 10/5/21, 10/12/21</t>
  </si>
  <si>
    <t>03-22</t>
  </si>
  <si>
    <t>Annual Litter Abatement Program</t>
  </si>
  <si>
    <t>I 03-22</t>
  </si>
  <si>
    <t>9/14/21, 9/21/21, 9/28/21</t>
  </si>
  <si>
    <t>B 03-22</t>
  </si>
  <si>
    <t>04-22</t>
  </si>
  <si>
    <t xml:space="preserve">A/R/C Security and Ushering Services at the Charles W. Eisemann Center </t>
  </si>
  <si>
    <t>9/9/21, 9/16/21</t>
  </si>
  <si>
    <t>B 04-22</t>
  </si>
  <si>
    <t>05-22</t>
  </si>
  <si>
    <t>Copper Ridge Elevated Water Storage Tank Rehabilitation</t>
  </si>
  <si>
    <t>I 05-22</t>
  </si>
  <si>
    <t>9/29/21, 10/6/21, 10/13/21</t>
  </si>
  <si>
    <t>06-22</t>
  </si>
  <si>
    <t>A/R/C Electrical Services for Special Events</t>
  </si>
  <si>
    <t>9/28/21, 10/5/21</t>
  </si>
  <si>
    <t>07-22</t>
  </si>
  <si>
    <t>08-22</t>
  </si>
  <si>
    <t>Nantucket Branch Channel Improvements</t>
  </si>
  <si>
    <t>09-22</t>
  </si>
  <si>
    <t>Vernet Wastewater Pipe Burst Emergency through BuyBoard</t>
  </si>
  <si>
    <t>Insituform Technologies</t>
  </si>
  <si>
    <t>BuyBoard 635-21</t>
  </si>
  <si>
    <t>501-22</t>
  </si>
  <si>
    <t>A/R/C Traffic Signal Box Vinyl Wraps</t>
  </si>
  <si>
    <t>701-22</t>
  </si>
  <si>
    <t>Concessionaire Services at the Charles W. Eisemann Center</t>
  </si>
  <si>
    <t>702-22</t>
  </si>
  <si>
    <t>Co-Op EMS Billing and Collection Services through Cole County</t>
  </si>
  <si>
    <t>Digitech Computer</t>
  </si>
  <si>
    <t>Cole County</t>
  </si>
  <si>
    <t>901-22</t>
  </si>
  <si>
    <t>2022-01</t>
  </si>
  <si>
    <t>1001-22</t>
  </si>
  <si>
    <t>AW 46-21</t>
  </si>
  <si>
    <t>AW 70-21</t>
  </si>
  <si>
    <t>T 70-21</t>
  </si>
  <si>
    <t>Information Current as of October 13, 2021</t>
  </si>
  <si>
    <t>AW 09-22</t>
  </si>
  <si>
    <t>AW 702-22</t>
  </si>
  <si>
    <t>T 03-22</t>
  </si>
  <si>
    <t>T 01-22</t>
  </si>
  <si>
    <t>T 02-22</t>
  </si>
  <si>
    <t>T 04-22</t>
  </si>
  <si>
    <t>A 05-22</t>
  </si>
  <si>
    <t>B 05-22</t>
  </si>
  <si>
    <t>B 06-22</t>
  </si>
  <si>
    <t>B 08-22</t>
  </si>
  <si>
    <t>B 501-22</t>
  </si>
  <si>
    <t>I 08-22</t>
  </si>
  <si>
    <t>T 501-22</t>
  </si>
  <si>
    <t>T 05-22</t>
  </si>
  <si>
    <t>AW 03-22</t>
  </si>
  <si>
    <t>AW 04-22</t>
  </si>
  <si>
    <t>AW 10-22</t>
  </si>
  <si>
    <t>AW 11-22</t>
  </si>
  <si>
    <t>AW 12-22</t>
  </si>
  <si>
    <t>AW 13-22</t>
  </si>
  <si>
    <t>AW 14-22</t>
  </si>
  <si>
    <t>AW 15-22</t>
  </si>
  <si>
    <t>AW 16-22</t>
  </si>
  <si>
    <t>AW 17-22</t>
  </si>
  <si>
    <t>AW 18-22</t>
  </si>
  <si>
    <t>AW 19-22</t>
  </si>
  <si>
    <t>10-22</t>
  </si>
  <si>
    <t>Co-Op Purchase of Two (2) Dodge Chargers for Police through BuyBoard</t>
  </si>
  <si>
    <t>11-22</t>
  </si>
  <si>
    <t>Co-Op Purchase of Two (2) Chevrolet Tahoes for Police through Sheriffs' Association of Texas</t>
  </si>
  <si>
    <t>12-22</t>
  </si>
  <si>
    <t>Co-Op Purchase of Twenty-One (21) Vehicles for Various City Departments through BuyBoard</t>
  </si>
  <si>
    <t>13-22</t>
  </si>
  <si>
    <t>Co-Op Purchase of Two (2) Loaders/Backhoes for Fleet Motorpool through BuyBoard</t>
  </si>
  <si>
    <t>14-22</t>
  </si>
  <si>
    <t>Co-Op Purchase of Two (2) Turf Mowers for Parks Maintenance through BuyBoard</t>
  </si>
  <si>
    <t>15-22</t>
  </si>
  <si>
    <t>Co-Op Purchase of One (1) Autocar ACX64 Cab/Over Chassis for Solid Waste through BuyBoard</t>
  </si>
  <si>
    <t>16-22</t>
  </si>
  <si>
    <t>Co-Op Purchase o Three (3) Crane Carrier Low Entry Tilt 2 (LET2) Cab/Over Chassis for Solid Waste through BuyBoard</t>
  </si>
  <si>
    <t>17-22</t>
  </si>
  <si>
    <t>Co-Op Purchase of Three (3) Leach, Alpha 16-yard Refuse Bodies and One (1) Labrie-Wittke, Starlight Front Loader 40-yard Body for Solid Waste through BuyBoard</t>
  </si>
  <si>
    <t>18-22</t>
  </si>
  <si>
    <t>Co-Op A/R/C Traffic Signs and Materials through City of McKinney</t>
  </si>
  <si>
    <t>19-22</t>
  </si>
  <si>
    <t>Co-Op Purchase of Video Management System and FARO 3D Scanner through OMNIA Partners, DIR, and GSA</t>
  </si>
  <si>
    <t>20-22</t>
  </si>
  <si>
    <t>Co-Op A/R/C Building MRO Supplies and Equipment through BuyBoard</t>
  </si>
  <si>
    <t>21-22</t>
  </si>
  <si>
    <t>Co-Op Purchase of Creek Hollow Park Restroom Building Purchase and Installation through BuyBoard</t>
  </si>
  <si>
    <t>22-22</t>
  </si>
  <si>
    <t>Co-Op A/R/C Traffic Control Products through BuyBoard</t>
  </si>
  <si>
    <t>23-22</t>
  </si>
  <si>
    <t>24-22</t>
  </si>
  <si>
    <t>Co-Op Purchase of Agriculture Tractor for Parks Maintenance through BuyBoard</t>
  </si>
  <si>
    <t>Grapevine Dodge Chrysler Jeep</t>
  </si>
  <si>
    <t>Rush Truck Centers of Texas</t>
  </si>
  <si>
    <t>Associated Supply Company (ASCO)</t>
  </si>
  <si>
    <t>Chastang Enterprises</t>
  </si>
  <si>
    <t>Bond Equipment Company</t>
  </si>
  <si>
    <t>Reliance Truck &amp; Equipment</t>
  </si>
  <si>
    <t>Newman Signs</t>
  </si>
  <si>
    <t>Vulcan Signs</t>
  </si>
  <si>
    <t>Centerline Supply</t>
  </si>
  <si>
    <t>McKinney 21-21FP</t>
  </si>
  <si>
    <t>Allied Universal Technology Services</t>
  </si>
  <si>
    <t>Dell Technologies</t>
  </si>
  <si>
    <t>FARO Technologies</t>
  </si>
  <si>
    <t>OMNIA Partners R170501, DIR-TSO-3763, GS-07F-197GA</t>
  </si>
  <si>
    <t>BuyBoard 657-21</t>
  </si>
  <si>
    <t>10/27/21, 11/3/21, 11/10/21</t>
  </si>
  <si>
    <t>Schneider Siltation</t>
  </si>
  <si>
    <t>Innovative Solution Advisors</t>
  </si>
  <si>
    <t>25-22</t>
  </si>
  <si>
    <t>Jupiter Road Bridge Over Spring Creek - Rehabilitation</t>
  </si>
  <si>
    <t>Co-Op Purchase of One (1) Bauer Vertecon Compressor Package for Fire Department through BuyBoard</t>
  </si>
  <si>
    <t>SpeedPro Richardson</t>
  </si>
  <si>
    <t>11/5/21, 11/12/21</t>
  </si>
  <si>
    <t>Eastside 8.6 Million Gallon Ground Storage Tank Improvements</t>
  </si>
  <si>
    <t>9/29/21, 10/6/21</t>
  </si>
  <si>
    <t>A 701-22</t>
  </si>
  <si>
    <t>B 701-22</t>
  </si>
  <si>
    <t>I 23-22</t>
  </si>
  <si>
    <t>I 901-22</t>
  </si>
  <si>
    <t>T 06-22</t>
  </si>
  <si>
    <t>26-22</t>
  </si>
  <si>
    <t>A/R/C Printing of Richardson Today</t>
  </si>
  <si>
    <t>11/4/21, 11/11/21</t>
  </si>
  <si>
    <t>27-22</t>
  </si>
  <si>
    <t>Grand Prairie 21186</t>
  </si>
  <si>
    <t>Co-Op A/R/C Pavement Crack and Joint Sealing Services through Grand Prairie</t>
  </si>
  <si>
    <t>C. Green Scaping, LP</t>
  </si>
  <si>
    <t>A 08-22</t>
  </si>
  <si>
    <t>B 23-22</t>
  </si>
  <si>
    <t>B 901-22</t>
  </si>
  <si>
    <t>AW 02-22</t>
  </si>
  <si>
    <t>AW 05-22</t>
  </si>
  <si>
    <t>AW 06-22</t>
  </si>
  <si>
    <t>AW 20-22</t>
  </si>
  <si>
    <t>AW 21-22</t>
  </si>
  <si>
    <t>AW 22-22</t>
  </si>
  <si>
    <t>AW 24-22</t>
  </si>
  <si>
    <t>AW 25-22</t>
  </si>
  <si>
    <t>Grainger</t>
  </si>
  <si>
    <t>MoboTrex</t>
  </si>
  <si>
    <t>New Holland Agriculture</t>
  </si>
  <si>
    <t>August Industries</t>
  </si>
  <si>
    <t>Axis Contracting</t>
  </si>
  <si>
    <t>Viking Industrial Painting</t>
  </si>
  <si>
    <t>Richardson Ready Electric</t>
  </si>
  <si>
    <t>28-22</t>
  </si>
  <si>
    <t>Grand Prairie 21158</t>
  </si>
  <si>
    <t>502-22</t>
  </si>
  <si>
    <t>Lighthouse Uniform</t>
  </si>
  <si>
    <t>Co-Op A/R/C Pavement Leveling Services through Grand Prairie</t>
  </si>
  <si>
    <t>B 07-22</t>
  </si>
  <si>
    <t>T 08-22</t>
  </si>
  <si>
    <t>T 23-22</t>
  </si>
  <si>
    <t>T 901-22</t>
  </si>
  <si>
    <t>29-22</t>
  </si>
  <si>
    <t>Sourcewell 031121-DAC</t>
  </si>
  <si>
    <t>30-22</t>
  </si>
  <si>
    <t>Co-Op Purchase of Municipal Court Air Conditioning Upgrades and Controls Replacement through OMNIA Partners and BuyBoard</t>
  </si>
  <si>
    <t>31-22</t>
  </si>
  <si>
    <t>Co-Op Purchase of One (1) MICU for Fire Department through HGAC</t>
  </si>
  <si>
    <t>32-22</t>
  </si>
  <si>
    <t>Co-Op Purchase of Two (2) Chevrolet Tahoes for Police Department through BuyBoard</t>
  </si>
  <si>
    <t>33-22</t>
  </si>
  <si>
    <t>Beck Branch Erosion Control</t>
  </si>
  <si>
    <t>Co-Op Purchase of One (1) PrecisionCut™ Fairway Mower for Sherrill Park Golf Course through Sourcewell</t>
  </si>
  <si>
    <t>34-22</t>
  </si>
  <si>
    <t>35-22</t>
  </si>
  <si>
    <t>Co-Op Purchase of One (1) Labrie-Wittke, Starlight Front Loader 40-yard Body for Solid Waste through BuyBoard</t>
  </si>
  <si>
    <t>A 02-22</t>
  </si>
  <si>
    <t>A 07-22</t>
  </si>
  <si>
    <t>A 23-22</t>
  </si>
  <si>
    <t>B 02-22</t>
  </si>
  <si>
    <t>T 07-22</t>
  </si>
  <si>
    <t>503-22</t>
  </si>
  <si>
    <t>McMahon Contracting</t>
  </si>
  <si>
    <t>Curtco</t>
  </si>
  <si>
    <t>Nortex Concrete Lift &amp; Stabilization</t>
  </si>
  <si>
    <t>Climatec</t>
  </si>
  <si>
    <t>Caldwell Country Chevrolet</t>
  </si>
  <si>
    <t>A 901-22</t>
  </si>
  <si>
    <t>AW 01-22</t>
  </si>
  <si>
    <t>AW 27-22</t>
  </si>
  <si>
    <t>AW 28-22</t>
  </si>
  <si>
    <t>AW 30-22</t>
  </si>
  <si>
    <t>AW 32-22</t>
  </si>
  <si>
    <t>AW 34-22</t>
  </si>
  <si>
    <t>AW 35-22</t>
  </si>
  <si>
    <t>AW 901-22</t>
  </si>
  <si>
    <t>36-22</t>
  </si>
  <si>
    <t>A/R/C Litter Removal for Parks</t>
  </si>
  <si>
    <t>Co-Op Purchase of Two (2) Mack Granite GR64B Chassis with Material Handler/Roll-off Hoist for BABIC through TIPS</t>
  </si>
  <si>
    <t>Amarillo 7025</t>
  </si>
  <si>
    <t>Co-Op A/R/C Fire Dept. Class "A" Uniform through City of Amarillo</t>
  </si>
  <si>
    <t>PureService Corporation</t>
  </si>
  <si>
    <t>Urban Infraconstruction</t>
  </si>
  <si>
    <t>East Texas Mack Sales</t>
  </si>
  <si>
    <t>12/13/21, 12/20/21</t>
  </si>
  <si>
    <t>703-22</t>
  </si>
  <si>
    <t>AW 07-22</t>
  </si>
  <si>
    <t>AW 08-22</t>
  </si>
  <si>
    <t>AW 23-22</t>
  </si>
  <si>
    <t>B 26-22</t>
  </si>
  <si>
    <t>AW 31-22</t>
  </si>
  <si>
    <t>AW 36-22</t>
  </si>
  <si>
    <t>37-22</t>
  </si>
  <si>
    <t>Co-Op Purchase of Duck Creek Sanitary Sewer Utility Hole Rehabilitation through BuyBoard</t>
  </si>
  <si>
    <t>38-22</t>
  </si>
  <si>
    <t>2022 Gabion Protection &amp; Maintenance Project</t>
  </si>
  <si>
    <t>39-22</t>
  </si>
  <si>
    <t>902-22</t>
  </si>
  <si>
    <t xml:space="preserve">Main Street Contract Tree Grow </t>
  </si>
  <si>
    <t>40-22</t>
  </si>
  <si>
    <t>41-22</t>
  </si>
  <si>
    <t>704-22</t>
  </si>
  <si>
    <t>A/R/C: Fourth of July Fireworks Production</t>
  </si>
  <si>
    <t>Co-Op Purchase of Fairway Mower for Sherrill Park Golf Course through Sourcewell</t>
  </si>
  <si>
    <t>John Deere</t>
  </si>
  <si>
    <t>Co-Op Lease of Forty (40) Golf Carts for Sherrill Park Golf Course through BuyBoard</t>
  </si>
  <si>
    <t>Metro Golf Cars</t>
  </si>
  <si>
    <t>Fuquay</t>
  </si>
  <si>
    <t>42-22</t>
  </si>
  <si>
    <t>Co-Op JOC for Fire Station #2 Fitness Room Renovation through BuyBoard</t>
  </si>
  <si>
    <t>43-22</t>
  </si>
  <si>
    <t>Co-Op Purchase of Ruth Young Park Sewer Replacement through BuyBoard</t>
  </si>
  <si>
    <t>44-22</t>
  </si>
  <si>
    <t>Co-Op Purchase and Installation of 1302 E. Collins Richardson IQ Furniture and Fixtures through BuyBoard, OMNIA Partners, TIPS, NCPA, and Sourcewell</t>
  </si>
  <si>
    <t>Various Contracts through BuyBoard, OMNIA Partners, TIPS, NCPA, and Sourcewell</t>
  </si>
  <si>
    <t>1/19/22, 1/26/22, 2/2/22</t>
  </si>
  <si>
    <t>A/R/C Printing of Richardson Today and One-Time Mailers</t>
  </si>
  <si>
    <t>1/20/22, 1/27/22</t>
  </si>
  <si>
    <t>CMAR Services for Construction of Water Improvements to Expand the 825 Pressure Zone Capacity of the City’s Water Distribution System</t>
  </si>
  <si>
    <t>I 33-22</t>
  </si>
  <si>
    <t>B 33-22</t>
  </si>
  <si>
    <t>AW 37-22</t>
  </si>
  <si>
    <t>AW 39-22</t>
  </si>
  <si>
    <t>AW 40-22</t>
  </si>
  <si>
    <t>B 41-22</t>
  </si>
  <si>
    <t>B 703-22</t>
  </si>
  <si>
    <t>Information Current as of January 26,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</si>
</sst>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mm/dd/yy"/>
    <numFmt numFmtId="165" formatCode="&quot;$&quot;#,##0.00"/>
    <numFmt numFmtId="166" formatCode="&quot;$&quot;#,##0"/>
    <numFmt numFmtId="167" formatCode="mm/dd/yy;@"/>
    <numFmt numFmtId="168" formatCode="_(&quot;$&quot;* #,##0_);_(&quot;$&quot;* \(#,##0\);_(&quot;$&quot;* &quot;-&quot;??_);_(@_)"/>
  </numFmts>
  <fonts count="13" x14ac:knownFonts="1">
    <font>
      <sz val="10"/>
      <name val="Arial"/>
    </font>
    <font>
      <sz val="11"/>
      <color theme="1"/>
      <name val="Calibri"/>
      <family val="2"/>
      <scheme val="minor"/>
    </font>
    <font>
      <sz val="10"/>
      <name val="Arial"/>
      <family val="2"/>
    </font>
    <font>
      <b/>
      <sz val="12"/>
      <name val="Arial"/>
      <family val="2"/>
    </font>
    <font>
      <sz val="8"/>
      <name val="Arial"/>
      <family val="2"/>
    </font>
    <font>
      <sz val="10"/>
      <name val="Arial"/>
      <family val="2"/>
    </font>
    <font>
      <u/>
      <sz val="10"/>
      <color indexed="12"/>
      <name val="Arial"/>
      <family val="2"/>
    </font>
    <font>
      <b/>
      <sz val="8"/>
      <name val="Arial"/>
      <family val="2"/>
    </font>
    <font>
      <u/>
      <sz val="8"/>
      <color indexed="12"/>
      <name val="Arial"/>
      <family val="2"/>
    </font>
    <font>
      <sz val="10"/>
      <name val="Arial"/>
      <family val="2"/>
    </font>
    <font>
      <sz val="10"/>
      <name val="Arial"/>
      <family val="2"/>
    </font>
    <font>
      <sz val="11"/>
      <color theme="1"/>
      <name val="Calibri"/>
      <family val="2"/>
      <scheme val="minor"/>
    </font>
    <font>
      <b/>
      <i/>
      <sz val="8"/>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s>
  <borders count="16">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2">
    <xf numFmtId="0" fontId="0" fillId="0" borderId="0"/>
    <xf numFmtId="43" fontId="2"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1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2" fillId="0" borderId="0"/>
    <xf numFmtId="0" fontId="1" fillId="0" borderId="0"/>
  </cellStyleXfs>
  <cellXfs count="249">
    <xf numFmtId="0" fontId="0" fillId="0" borderId="0" xfId="0"/>
    <xf numFmtId="0" fontId="4" fillId="0" borderId="0" xfId="0" applyFont="1"/>
    <xf numFmtId="49" fontId="4" fillId="0" borderId="1" xfId="0" applyNumberFormat="1" applyFont="1" applyBorder="1" applyAlignment="1">
      <alignment horizontal="center"/>
    </xf>
    <xf numFmtId="0" fontId="4" fillId="0" borderId="1" xfId="0" applyFont="1" applyBorder="1" applyAlignment="1">
      <alignment horizontal="center"/>
    </xf>
    <xf numFmtId="164" fontId="4" fillId="0" borderId="1" xfId="0" applyNumberFormat="1" applyFont="1" applyBorder="1" applyAlignment="1">
      <alignment horizontal="center"/>
    </xf>
    <xf numFmtId="164" fontId="4" fillId="0" borderId="1" xfId="0" quotePrefix="1" applyNumberFormat="1" applyFont="1" applyBorder="1" applyAlignment="1">
      <alignment horizontal="center"/>
    </xf>
    <xf numFmtId="0" fontId="4" fillId="0" borderId="0" xfId="0" applyFont="1" applyAlignment="1">
      <alignment horizontal="center"/>
    </xf>
    <xf numFmtId="49" fontId="4" fillId="0" borderId="2" xfId="0" applyNumberFormat="1" applyFont="1" applyBorder="1" applyAlignment="1">
      <alignment horizontal="center"/>
    </xf>
    <xf numFmtId="164" fontId="4" fillId="0" borderId="2" xfId="0" applyNumberFormat="1" applyFont="1" applyBorder="1" applyAlignment="1">
      <alignment horizontal="center"/>
    </xf>
    <xf numFmtId="0" fontId="4" fillId="0" borderId="2" xfId="0" applyFont="1" applyBorder="1" applyAlignment="1">
      <alignment horizontal="center"/>
    </xf>
    <xf numFmtId="49" fontId="4" fillId="0" borderId="0" xfId="0" applyNumberFormat="1" applyFont="1"/>
    <xf numFmtId="164" fontId="4" fillId="0" borderId="0" xfId="0" applyNumberFormat="1" applyFont="1"/>
    <xf numFmtId="164" fontId="4" fillId="0" borderId="0" xfId="0" applyNumberFormat="1" applyFont="1" applyAlignment="1">
      <alignment horizontal="left"/>
    </xf>
    <xf numFmtId="165" fontId="4" fillId="0" borderId="0" xfId="0" applyNumberFormat="1" applyFont="1"/>
    <xf numFmtId="43" fontId="4" fillId="0" borderId="0" xfId="1" applyFont="1"/>
    <xf numFmtId="43" fontId="4" fillId="0" borderId="2" xfId="1" applyFont="1" applyBorder="1" applyAlignment="1">
      <alignment horizontal="left"/>
    </xf>
    <xf numFmtId="43" fontId="4" fillId="0" borderId="0" xfId="1" applyFont="1" applyBorder="1" applyAlignment="1">
      <alignment horizontal="left"/>
    </xf>
    <xf numFmtId="0" fontId="4" fillId="2" borderId="3" xfId="0" applyFont="1" applyFill="1" applyBorder="1"/>
    <xf numFmtId="0" fontId="4" fillId="2" borderId="3" xfId="0" applyFont="1" applyFill="1" applyBorder="1" applyAlignment="1">
      <alignment horizontal="center"/>
    </xf>
    <xf numFmtId="0" fontId="4" fillId="2" borderId="1" xfId="0" applyFont="1" applyFill="1" applyBorder="1" applyAlignment="1">
      <alignment horizontal="center"/>
    </xf>
    <xf numFmtId="0" fontId="4" fillId="2" borderId="2" xfId="0" applyFont="1" applyFill="1" applyBorder="1"/>
    <xf numFmtId="0" fontId="4" fillId="2" borderId="4" xfId="0" applyFont="1" applyFill="1" applyBorder="1"/>
    <xf numFmtId="164" fontId="4" fillId="2" borderId="2" xfId="0" applyNumberFormat="1" applyFont="1" applyFill="1" applyBorder="1" applyAlignment="1">
      <alignment horizontal="center"/>
    </xf>
    <xf numFmtId="43" fontId="4" fillId="0" borderId="0" xfId="1" applyFont="1" applyBorder="1"/>
    <xf numFmtId="164" fontId="7" fillId="3" borderId="0" xfId="0" applyNumberFormat="1" applyFont="1" applyFill="1" applyAlignment="1">
      <alignment horizontal="right"/>
    </xf>
    <xf numFmtId="168" fontId="7" fillId="3" borderId="0" xfId="5" applyNumberFormat="1" applyFont="1" applyFill="1"/>
    <xf numFmtId="42" fontId="4" fillId="0" borderId="0" xfId="5" applyNumberFormat="1" applyFont="1"/>
    <xf numFmtId="42" fontId="4" fillId="0" borderId="0" xfId="5" applyNumberFormat="1" applyFont="1" applyBorder="1"/>
    <xf numFmtId="164" fontId="7" fillId="0" borderId="0" xfId="0" applyNumberFormat="1" applyFont="1" applyAlignment="1">
      <alignment horizontal="right"/>
    </xf>
    <xf numFmtId="42" fontId="7" fillId="0" borderId="0" xfId="5" applyNumberFormat="1" applyFont="1"/>
    <xf numFmtId="168" fontId="7" fillId="0" borderId="0" xfId="0" applyNumberFormat="1" applyFont="1"/>
    <xf numFmtId="42" fontId="4" fillId="0" borderId="1" xfId="5" applyNumberFormat="1" applyFont="1" applyFill="1" applyBorder="1"/>
    <xf numFmtId="0" fontId="4" fillId="0" borderId="1" xfId="5" applyNumberFormat="1" applyFont="1" applyFill="1" applyBorder="1" applyAlignment="1">
      <alignment horizontal="center"/>
    </xf>
    <xf numFmtId="42" fontId="4" fillId="0" borderId="1" xfId="5" applyNumberFormat="1" applyFont="1" applyFill="1" applyBorder="1" applyAlignment="1">
      <alignment horizontal="center"/>
    </xf>
    <xf numFmtId="42" fontId="4" fillId="0" borderId="2" xfId="5" applyNumberFormat="1" applyFont="1" applyBorder="1"/>
    <xf numFmtId="0" fontId="4" fillId="0" borderId="2" xfId="5" applyNumberFormat="1" applyFont="1" applyBorder="1" applyAlignment="1">
      <alignment horizontal="center"/>
    </xf>
    <xf numFmtId="42" fontId="4" fillId="0" borderId="2" xfId="5" applyNumberFormat="1" applyFont="1" applyBorder="1" applyAlignment="1">
      <alignment horizontal="center"/>
    </xf>
    <xf numFmtId="0" fontId="6" fillId="0" borderId="0" xfId="10" applyAlignment="1" applyProtection="1"/>
    <xf numFmtId="49" fontId="6" fillId="0" borderId="0" xfId="10" applyNumberFormat="1" applyAlignment="1" applyProtection="1"/>
    <xf numFmtId="49" fontId="4" fillId="0" borderId="2" xfId="0" quotePrefix="1" applyNumberFormat="1" applyFont="1" applyBorder="1" applyAlignment="1">
      <alignment horizontal="left" wrapText="1"/>
    </xf>
    <xf numFmtId="49" fontId="4" fillId="0" borderId="2" xfId="0" applyNumberFormat="1" applyFont="1" applyBorder="1"/>
    <xf numFmtId="49" fontId="4" fillId="2" borderId="3"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2" xfId="0" applyNumberFormat="1" applyFont="1" applyFill="1" applyBorder="1" applyAlignment="1">
      <alignment horizontal="center"/>
    </xf>
    <xf numFmtId="49" fontId="4" fillId="0" borderId="1" xfId="0" quotePrefix="1" applyNumberFormat="1" applyFont="1" applyBorder="1" applyAlignment="1">
      <alignment horizontal="center"/>
    </xf>
    <xf numFmtId="49" fontId="4" fillId="0" borderId="0" xfId="0" applyNumberFormat="1" applyFont="1" applyAlignment="1">
      <alignment horizontal="center"/>
    </xf>
    <xf numFmtId="49" fontId="4" fillId="0" borderId="0" xfId="1" applyNumberFormat="1" applyFont="1"/>
    <xf numFmtId="164" fontId="8" fillId="0" borderId="1" xfId="10" applyNumberFormat="1" applyFont="1" applyFill="1" applyBorder="1" applyAlignment="1" applyProtection="1">
      <alignment horizontal="center"/>
    </xf>
    <xf numFmtId="49" fontId="8" fillId="0" borderId="1" xfId="10" applyNumberFormat="1" applyFont="1" applyFill="1" applyBorder="1" applyAlignment="1" applyProtection="1">
      <alignment horizontal="center"/>
    </xf>
    <xf numFmtId="164" fontId="8" fillId="0" borderId="1" xfId="10" quotePrefix="1" applyNumberFormat="1" applyFont="1" applyFill="1" applyBorder="1" applyAlignment="1" applyProtection="1">
      <alignment horizontal="center"/>
    </xf>
    <xf numFmtId="0" fontId="8" fillId="0" borderId="1" xfId="10" applyFont="1" applyFill="1" applyBorder="1" applyAlignment="1" applyProtection="1">
      <alignment horizontal="center"/>
    </xf>
    <xf numFmtId="14" fontId="8" fillId="0" borderId="1" xfId="10" applyNumberFormat="1" applyFont="1" applyFill="1" applyBorder="1" applyAlignment="1" applyProtection="1">
      <alignment horizontal="center"/>
    </xf>
    <xf numFmtId="43" fontId="4" fillId="0" borderId="1" xfId="1" applyFont="1" applyBorder="1"/>
    <xf numFmtId="43" fontId="4" fillId="0" borderId="1" xfId="1" applyFont="1" applyFill="1" applyBorder="1"/>
    <xf numFmtId="43" fontId="4" fillId="0" borderId="2" xfId="1" applyFont="1" applyBorder="1"/>
    <xf numFmtId="43" fontId="4" fillId="0" borderId="3" xfId="1" applyFont="1" applyBorder="1"/>
    <xf numFmtId="168" fontId="4" fillId="0" borderId="1" xfId="5" applyNumberFormat="1" applyFont="1" applyFill="1" applyBorder="1" applyAlignment="1" applyProtection="1">
      <alignment horizontal="center"/>
      <protection locked="0"/>
    </xf>
    <xf numFmtId="168" fontId="4" fillId="0" borderId="2" xfId="0" quotePrefix="1" applyNumberFormat="1" applyFont="1" applyBorder="1" applyAlignment="1">
      <alignment horizontal="center"/>
    </xf>
    <xf numFmtId="168" fontId="4" fillId="0" borderId="1" xfId="5" applyNumberFormat="1" applyFont="1" applyBorder="1" applyAlignment="1">
      <alignment horizontal="center"/>
    </xf>
    <xf numFmtId="168" fontId="4" fillId="0" borderId="1" xfId="5" applyNumberFormat="1" applyFont="1" applyFill="1" applyBorder="1" applyAlignment="1">
      <alignment horizontal="center"/>
    </xf>
    <xf numFmtId="168" fontId="4" fillId="0" borderId="2" xfId="5" applyNumberFormat="1" applyFont="1" applyBorder="1" applyAlignment="1">
      <alignment horizontal="center"/>
    </xf>
    <xf numFmtId="168" fontId="4" fillId="0" borderId="1" xfId="5" applyNumberFormat="1" applyFont="1" applyFill="1" applyBorder="1" applyAlignment="1">
      <alignment horizontal="left"/>
    </xf>
    <xf numFmtId="49" fontId="4" fillId="0" borderId="2" xfId="0" applyNumberFormat="1" applyFont="1" applyBorder="1" applyAlignment="1">
      <alignment horizontal="left"/>
    </xf>
    <xf numFmtId="43" fontId="4" fillId="0" borderId="1" xfId="1" applyFont="1" applyFill="1" applyBorder="1" applyAlignment="1">
      <alignment horizontal="center"/>
    </xf>
    <xf numFmtId="43" fontId="4" fillId="0" borderId="1" xfId="1" applyFont="1" applyBorder="1" applyAlignment="1">
      <alignment horizontal="center"/>
    </xf>
    <xf numFmtId="0" fontId="4" fillId="0" borderId="1" xfId="1" applyNumberFormat="1" applyFont="1" applyFill="1" applyBorder="1" applyAlignment="1">
      <alignment horizontal="center"/>
    </xf>
    <xf numFmtId="0" fontId="4" fillId="0" borderId="1" xfId="1" applyNumberFormat="1" applyFont="1" applyBorder="1" applyAlignment="1">
      <alignment horizontal="center"/>
    </xf>
    <xf numFmtId="42" fontId="4" fillId="0" borderId="1" xfId="1" applyNumberFormat="1" applyFont="1" applyFill="1" applyBorder="1" applyAlignment="1">
      <alignment horizontal="justify"/>
    </xf>
    <xf numFmtId="42" fontId="4" fillId="0" borderId="1" xfId="1" applyNumberFormat="1" applyFont="1" applyBorder="1" applyAlignment="1">
      <alignment horizontal="justify"/>
    </xf>
    <xf numFmtId="0" fontId="7" fillId="0" borderId="6" xfId="0" applyFont="1" applyBorder="1" applyAlignment="1">
      <alignment horizontal="center"/>
    </xf>
    <xf numFmtId="168" fontId="7" fillId="0" borderId="6" xfId="0" applyNumberFormat="1" applyFont="1" applyBorder="1"/>
    <xf numFmtId="0" fontId="7" fillId="0" borderId="6" xfId="12" applyFont="1" applyBorder="1" applyAlignment="1">
      <alignment horizontal="center"/>
    </xf>
    <xf numFmtId="0" fontId="7" fillId="0" borderId="7" xfId="12" applyFont="1" applyBorder="1" applyAlignment="1">
      <alignment horizontal="center"/>
    </xf>
    <xf numFmtId="0" fontId="7" fillId="0" borderId="0" xfId="0" applyFont="1" applyAlignment="1">
      <alignment horizontal="center"/>
    </xf>
    <xf numFmtId="168" fontId="7" fillId="0" borderId="7" xfId="12" applyNumberFormat="1" applyFont="1" applyBorder="1"/>
    <xf numFmtId="168" fontId="7" fillId="0" borderId="0" xfId="12" applyNumberFormat="1" applyFont="1"/>
    <xf numFmtId="0" fontId="7" fillId="0" borderId="0" xfId="12" applyFont="1" applyAlignment="1">
      <alignment horizontal="center"/>
    </xf>
    <xf numFmtId="49" fontId="4" fillId="0" borderId="9" xfId="0" applyNumberFormat="1" applyFont="1" applyBorder="1" applyAlignment="1">
      <alignment horizontal="center"/>
    </xf>
    <xf numFmtId="43" fontId="4" fillId="0" borderId="1" xfId="1" applyFont="1" applyFill="1" applyBorder="1" applyAlignment="1">
      <alignment wrapText="1"/>
    </xf>
    <xf numFmtId="168" fontId="4" fillId="0" borderId="1" xfId="5" applyNumberFormat="1" applyFont="1" applyFill="1" applyBorder="1" applyAlignment="1">
      <alignment horizontal="justify"/>
    </xf>
    <xf numFmtId="6" fontId="4" fillId="0" borderId="1" xfId="5" applyNumberFormat="1" applyFont="1" applyFill="1" applyBorder="1"/>
    <xf numFmtId="49" fontId="4" fillId="0" borderId="1" xfId="1" applyNumberFormat="1" applyFont="1" applyFill="1" applyBorder="1" applyAlignment="1">
      <alignment horizontal="left" wrapText="1"/>
    </xf>
    <xf numFmtId="164" fontId="8" fillId="0" borderId="0" xfId="10" quotePrefix="1" applyNumberFormat="1" applyFont="1" applyFill="1" applyBorder="1" applyAlignment="1" applyProtection="1">
      <alignment horizontal="center"/>
    </xf>
    <xf numFmtId="43" fontId="4" fillId="0" borderId="3" xfId="1" applyFont="1" applyBorder="1" applyAlignment="1">
      <alignment wrapText="1"/>
    </xf>
    <xf numFmtId="0" fontId="8" fillId="0" borderId="8" xfId="10" applyFont="1" applyFill="1" applyBorder="1" applyAlignment="1" applyProtection="1">
      <alignment horizontal="left"/>
    </xf>
    <xf numFmtId="0" fontId="4" fillId="2" borderId="8" xfId="0" applyFont="1" applyFill="1" applyBorder="1" applyAlignment="1">
      <alignment horizontal="center"/>
    </xf>
    <xf numFmtId="0" fontId="4" fillId="2" borderId="12" xfId="0" applyFont="1" applyFill="1" applyBorder="1" applyAlignment="1">
      <alignment horizontal="center"/>
    </xf>
    <xf numFmtId="0" fontId="4" fillId="0" borderId="5" xfId="0" applyFont="1" applyBorder="1" applyAlignment="1">
      <alignment horizontal="left"/>
    </xf>
    <xf numFmtId="0" fontId="3" fillId="0" borderId="0" xfId="0" applyFont="1"/>
    <xf numFmtId="168" fontId="4" fillId="0" borderId="1" xfId="0" applyNumberFormat="1" applyFont="1" applyBorder="1" applyAlignment="1">
      <alignment horizontal="center"/>
    </xf>
    <xf numFmtId="49" fontId="4" fillId="0" borderId="1" xfId="0" applyNumberFormat="1" applyFont="1" applyBorder="1" applyAlignment="1">
      <alignment horizontal="left" wrapText="1"/>
    </xf>
    <xf numFmtId="49" fontId="4" fillId="0" borderId="1" xfId="0" applyNumberFormat="1" applyFont="1" applyBorder="1" applyAlignment="1">
      <alignment horizontal="left"/>
    </xf>
    <xf numFmtId="0" fontId="4" fillId="0" borderId="1" xfId="0" applyFont="1" applyBorder="1" applyAlignment="1">
      <alignment horizontal="center" wrapText="1"/>
    </xf>
    <xf numFmtId="0" fontId="4" fillId="0" borderId="1" xfId="0" applyFont="1" applyBorder="1" applyAlignment="1">
      <alignment horizontal="left" wrapText="1"/>
    </xf>
    <xf numFmtId="167" fontId="4" fillId="0" borderId="1" xfId="0" applyNumberFormat="1" applyFont="1" applyBorder="1" applyAlignment="1">
      <alignment horizontal="center"/>
    </xf>
    <xf numFmtId="168" fontId="4" fillId="0" borderId="1" xfId="0" quotePrefix="1" applyNumberFormat="1" applyFont="1" applyBorder="1" applyAlignment="1">
      <alignment horizontal="center"/>
    </xf>
    <xf numFmtId="14" fontId="4" fillId="0" borderId="1" xfId="0" applyNumberFormat="1" applyFont="1" applyBorder="1" applyAlignment="1">
      <alignment horizontal="center"/>
    </xf>
    <xf numFmtId="49" fontId="4" fillId="0" borderId="1" xfId="0" quotePrefix="1" applyNumberFormat="1" applyFont="1" applyBorder="1" applyAlignment="1">
      <alignment horizontal="left" wrapText="1"/>
    </xf>
    <xf numFmtId="16" fontId="4" fillId="0" borderId="1" xfId="0" applyNumberFormat="1" applyFont="1" applyBorder="1" applyAlignment="1">
      <alignment horizontal="center"/>
    </xf>
    <xf numFmtId="164" fontId="4" fillId="0" borderId="0" xfId="0" applyNumberFormat="1" applyFont="1" applyAlignment="1">
      <alignment horizontal="center"/>
    </xf>
    <xf numFmtId="166" fontId="4" fillId="0" borderId="0" xfId="0" quotePrefix="1" applyNumberFormat="1" applyFont="1" applyAlignment="1">
      <alignment horizontal="center"/>
    </xf>
    <xf numFmtId="165" fontId="4" fillId="0" borderId="0" xfId="0" quotePrefix="1" applyNumberFormat="1" applyFont="1" applyAlignment="1">
      <alignment horizontal="left"/>
    </xf>
    <xf numFmtId="49" fontId="3" fillId="0" borderId="0" xfId="0" applyNumberFormat="1" applyFont="1"/>
    <xf numFmtId="0" fontId="4" fillId="2" borderId="9" xfId="0" applyFont="1" applyFill="1" applyBorder="1" applyAlignment="1">
      <alignment horizontal="center"/>
    </xf>
    <xf numFmtId="49" fontId="4" fillId="0" borderId="8" xfId="0" applyNumberFormat="1" applyFont="1" applyBorder="1" applyAlignment="1">
      <alignment horizontal="left" wrapText="1"/>
    </xf>
    <xf numFmtId="42" fontId="4" fillId="0" borderId="1" xfId="0" applyNumberFormat="1" applyFont="1" applyBorder="1"/>
    <xf numFmtId="42" fontId="4" fillId="0" borderId="2" xfId="0" applyNumberFormat="1" applyFont="1" applyBorder="1"/>
    <xf numFmtId="49" fontId="4" fillId="0" borderId="9" xfId="0" applyNumberFormat="1" applyFont="1" applyBorder="1" applyAlignment="1">
      <alignment horizontal="left" wrapText="1"/>
    </xf>
    <xf numFmtId="0" fontId="4" fillId="2" borderId="1" xfId="0" applyFont="1" applyFill="1" applyBorder="1"/>
    <xf numFmtId="49" fontId="4" fillId="0" borderId="1" xfId="0" applyNumberFormat="1" applyFont="1" applyBorder="1"/>
    <xf numFmtId="166" fontId="4" fillId="0" borderId="1" xfId="0" applyNumberFormat="1" applyFont="1" applyBorder="1" applyAlignment="1">
      <alignment horizontal="center"/>
    </xf>
    <xf numFmtId="0" fontId="4" fillId="0" borderId="3" xfId="0" applyFont="1" applyBorder="1"/>
    <xf numFmtId="17" fontId="4" fillId="0" borderId="1" xfId="0" applyNumberFormat="1" applyFont="1" applyBorder="1" applyAlignment="1">
      <alignment horizontal="center"/>
    </xf>
    <xf numFmtId="0" fontId="4" fillId="0" borderId="1" xfId="0" applyFont="1" applyBorder="1"/>
    <xf numFmtId="17" fontId="4" fillId="0" borderId="2" xfId="0" applyNumberFormat="1" applyFont="1" applyBorder="1" applyAlignment="1">
      <alignment horizontal="center"/>
    </xf>
    <xf numFmtId="0" fontId="4" fillId="0" borderId="2" xfId="0" applyFont="1" applyBorder="1" applyAlignment="1">
      <alignment horizontal="left" wrapText="1"/>
    </xf>
    <xf numFmtId="14" fontId="4" fillId="0" borderId="2" xfId="0" applyNumberFormat="1" applyFont="1" applyBorder="1" applyAlignment="1">
      <alignment horizontal="center"/>
    </xf>
    <xf numFmtId="164" fontId="4" fillId="0" borderId="2" xfId="0" quotePrefix="1" applyNumberFormat="1" applyFont="1" applyBorder="1" applyAlignment="1">
      <alignment horizontal="center"/>
    </xf>
    <xf numFmtId="166" fontId="4" fillId="0" borderId="2" xfId="0" applyNumberFormat="1" applyFont="1" applyBorder="1" applyAlignment="1">
      <alignment horizontal="center"/>
    </xf>
    <xf numFmtId="0" fontId="4" fillId="0" borderId="2" xfId="0" applyFont="1" applyBorder="1"/>
    <xf numFmtId="42" fontId="4" fillId="0" borderId="1" xfId="0" applyNumberFormat="1" applyFont="1" applyBorder="1" applyAlignment="1">
      <alignment horizontal="left"/>
    </xf>
    <xf numFmtId="0" fontId="4" fillId="0" borderId="2" xfId="0" applyFont="1" applyBorder="1" applyAlignment="1">
      <alignment horizontal="left"/>
    </xf>
    <xf numFmtId="0" fontId="4" fillId="0" borderId="1" xfId="0" quotePrefix="1" applyFont="1" applyBorder="1" applyAlignment="1">
      <alignment horizontal="center"/>
    </xf>
    <xf numFmtId="14" fontId="4" fillId="0" borderId="1" xfId="0" quotePrefix="1" applyNumberFormat="1" applyFont="1" applyBorder="1" applyAlignment="1">
      <alignment horizontal="center"/>
    </xf>
    <xf numFmtId="42" fontId="4" fillId="0" borderId="1" xfId="0" applyNumberFormat="1" applyFont="1" applyBorder="1" applyAlignment="1">
      <alignment horizontal="center"/>
    </xf>
    <xf numFmtId="164" fontId="4" fillId="0" borderId="1" xfId="0" applyNumberFormat="1" applyFont="1" applyFill="1" applyBorder="1" applyAlignment="1">
      <alignment horizontal="center"/>
    </xf>
    <xf numFmtId="164" fontId="4" fillId="0" borderId="1" xfId="0" quotePrefix="1" applyNumberFormat="1" applyFont="1" applyFill="1" applyBorder="1" applyAlignment="1">
      <alignment horizontal="center"/>
    </xf>
    <xf numFmtId="168" fontId="4" fillId="0" borderId="1" xfId="0" applyNumberFormat="1" applyFont="1" applyFill="1" applyBorder="1" applyAlignment="1">
      <alignment horizontal="center"/>
    </xf>
    <xf numFmtId="168" fontId="4" fillId="0" borderId="1" xfId="0" applyNumberFormat="1" applyFont="1" applyFill="1" applyBorder="1" applyAlignment="1" applyProtection="1">
      <alignment horizontal="center"/>
      <protection locked="0"/>
    </xf>
    <xf numFmtId="167" fontId="4" fillId="0" borderId="1" xfId="0" applyNumberFormat="1" applyFont="1" applyFill="1" applyBorder="1" applyAlignment="1">
      <alignment horizontal="center"/>
    </xf>
    <xf numFmtId="49" fontId="4" fillId="0" borderId="9" xfId="0" applyNumberFormat="1" applyFont="1" applyBorder="1" applyAlignment="1">
      <alignment horizontal="left"/>
    </xf>
    <xf numFmtId="49" fontId="4" fillId="0" borderId="8" xfId="0" applyNumberFormat="1" applyFont="1" applyBorder="1" applyAlignment="1">
      <alignment horizontal="left"/>
    </xf>
    <xf numFmtId="0" fontId="4" fillId="2" borderId="12"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49" fontId="4" fillId="0" borderId="8" xfId="0" applyNumberFormat="1" applyFont="1" applyBorder="1" applyAlignment="1">
      <alignment horizontal="left" wrapText="1"/>
    </xf>
    <xf numFmtId="49" fontId="4" fillId="0" borderId="9" xfId="0" applyNumberFormat="1" applyFont="1" applyBorder="1" applyAlignment="1">
      <alignment horizontal="left" wrapText="1"/>
    </xf>
    <xf numFmtId="0" fontId="4" fillId="0" borderId="5" xfId="0" applyFont="1" applyBorder="1" applyAlignment="1">
      <alignment horizontal="left"/>
    </xf>
    <xf numFmtId="49" fontId="4" fillId="0" borderId="1" xfId="1" applyNumberFormat="1" applyFont="1" applyBorder="1" applyAlignment="1">
      <alignment horizontal="left" wrapText="1"/>
    </xf>
    <xf numFmtId="42" fontId="4" fillId="0" borderId="1" xfId="5" applyNumberFormat="1" applyFont="1" applyBorder="1" applyAlignment="1">
      <alignment horizontal="center"/>
    </xf>
    <xf numFmtId="168" fontId="4" fillId="0" borderId="1" xfId="0" applyNumberFormat="1" applyFont="1" applyBorder="1" applyAlignment="1" applyProtection="1">
      <alignment horizontal="center"/>
      <protection locked="0"/>
    </xf>
    <xf numFmtId="49" fontId="4" fillId="0" borderId="0" xfId="1" applyNumberFormat="1" applyFont="1" applyFill="1" applyAlignment="1">
      <alignment wrapText="1"/>
    </xf>
    <xf numFmtId="49" fontId="4" fillId="0" borderId="2" xfId="1" applyNumberFormat="1" applyFont="1" applyBorder="1" applyAlignment="1">
      <alignment horizontal="left" wrapText="1"/>
    </xf>
    <xf numFmtId="49" fontId="4" fillId="0" borderId="2" xfId="0" quotePrefix="1" applyNumberFormat="1" applyFont="1" applyBorder="1" applyAlignment="1">
      <alignment horizontal="center"/>
    </xf>
    <xf numFmtId="42" fontId="4" fillId="0" borderId="2" xfId="5" applyNumberFormat="1" applyFont="1" applyFill="1" applyBorder="1" applyAlignment="1">
      <alignment horizontal="center"/>
    </xf>
    <xf numFmtId="42" fontId="4" fillId="0" borderId="2" xfId="5" applyNumberFormat="1" applyFont="1" applyFill="1" applyBorder="1"/>
    <xf numFmtId="0" fontId="4" fillId="0" borderId="2" xfId="5" applyNumberFormat="1" applyFont="1" applyFill="1" applyBorder="1" applyAlignment="1">
      <alignment horizontal="center"/>
    </xf>
    <xf numFmtId="168" fontId="4" fillId="0" borderId="2" xfId="0" applyNumberFormat="1" applyFont="1" applyBorder="1" applyAlignment="1">
      <alignment horizontal="center"/>
    </xf>
    <xf numFmtId="49" fontId="4" fillId="0" borderId="2" xfId="0" applyNumberFormat="1" applyFont="1" applyBorder="1" applyAlignment="1">
      <alignment horizontal="left" wrapText="1"/>
    </xf>
    <xf numFmtId="43" fontId="4" fillId="0" borderId="2" xfId="1" applyFont="1" applyFill="1" applyBorder="1"/>
    <xf numFmtId="49" fontId="4" fillId="0" borderId="4" xfId="0" applyNumberFormat="1" applyFont="1" applyBorder="1" applyAlignment="1">
      <alignment horizontal="center"/>
    </xf>
    <xf numFmtId="164" fontId="8" fillId="0" borderId="2" xfId="10" quotePrefix="1" applyNumberFormat="1" applyFont="1" applyFill="1" applyBorder="1" applyAlignment="1" applyProtection="1">
      <alignment horizontal="center"/>
    </xf>
    <xf numFmtId="0" fontId="8" fillId="0" borderId="2" xfId="10" applyFont="1" applyFill="1" applyBorder="1" applyAlignment="1" applyProtection="1">
      <alignment horizontal="center"/>
    </xf>
    <xf numFmtId="42" fontId="4" fillId="0" borderId="2" xfId="1" applyNumberFormat="1" applyFont="1" applyFill="1" applyBorder="1" applyAlignment="1">
      <alignment horizontal="justify"/>
    </xf>
    <xf numFmtId="0" fontId="4" fillId="0" borderId="2" xfId="1" applyNumberFormat="1" applyFont="1" applyFill="1" applyBorder="1" applyAlignment="1">
      <alignment horizontal="center"/>
    </xf>
    <xf numFmtId="168" fontId="4" fillId="0" borderId="2" xfId="5" quotePrefix="1" applyNumberFormat="1" applyFont="1" applyFill="1" applyBorder="1" applyAlignment="1">
      <alignment horizontal="center"/>
    </xf>
    <xf numFmtId="43" fontId="4" fillId="0" borderId="2" xfId="1" applyFont="1" applyFill="1" applyBorder="1" applyAlignment="1">
      <alignment horizontal="center"/>
    </xf>
    <xf numFmtId="0" fontId="4" fillId="0" borderId="13" xfId="0" applyFont="1" applyBorder="1" applyAlignment="1">
      <alignment horizontal="center"/>
    </xf>
    <xf numFmtId="0" fontId="4" fillId="0" borderId="13" xfId="0" applyFont="1" applyBorder="1" applyAlignment="1">
      <alignment horizontal="left" wrapText="1"/>
    </xf>
    <xf numFmtId="164" fontId="4" fillId="0" borderId="13" xfId="0" quotePrefix="1" applyNumberFormat="1" applyFont="1" applyBorder="1" applyAlignment="1">
      <alignment horizontal="center"/>
    </xf>
    <xf numFmtId="49" fontId="4" fillId="0" borderId="13" xfId="0" quotePrefix="1" applyNumberFormat="1" applyFont="1" applyBorder="1" applyAlignment="1">
      <alignment horizontal="center"/>
    </xf>
    <xf numFmtId="164" fontId="4" fillId="0" borderId="13" xfId="0" applyNumberFormat="1" applyFont="1" applyBorder="1" applyAlignment="1">
      <alignment horizontal="center"/>
    </xf>
    <xf numFmtId="164" fontId="8" fillId="0" borderId="13" xfId="10" quotePrefix="1" applyNumberFormat="1" applyFont="1" applyFill="1" applyBorder="1" applyAlignment="1" applyProtection="1">
      <alignment horizontal="center"/>
    </xf>
    <xf numFmtId="0" fontId="8" fillId="0" borderId="13" xfId="10" applyFont="1" applyFill="1" applyBorder="1" applyAlignment="1" applyProtection="1">
      <alignment horizontal="center"/>
    </xf>
    <xf numFmtId="164" fontId="8" fillId="0" borderId="13" xfId="10" applyNumberFormat="1" applyFont="1" applyFill="1" applyBorder="1" applyAlignment="1" applyProtection="1">
      <alignment horizontal="center"/>
    </xf>
    <xf numFmtId="42" fontId="4" fillId="0" borderId="13" xfId="0" applyNumberFormat="1" applyFont="1" applyBorder="1" applyAlignment="1">
      <alignment horizontal="left"/>
    </xf>
    <xf numFmtId="168" fontId="4" fillId="0" borderId="13" xfId="5" applyNumberFormat="1" applyFont="1" applyFill="1" applyBorder="1" applyAlignment="1">
      <alignment horizontal="left"/>
    </xf>
    <xf numFmtId="49" fontId="4" fillId="0" borderId="13" xfId="0" applyNumberFormat="1" applyFont="1" applyBorder="1" applyAlignment="1">
      <alignment horizontal="left"/>
    </xf>
    <xf numFmtId="166" fontId="4" fillId="0" borderId="13" xfId="0" applyNumberFormat="1" applyFont="1" applyBorder="1" applyAlignment="1">
      <alignment horizontal="center"/>
    </xf>
    <xf numFmtId="43" fontId="4" fillId="0" borderId="13" xfId="1" applyFont="1" applyBorder="1" applyAlignment="1">
      <alignment wrapText="1"/>
    </xf>
    <xf numFmtId="164" fontId="8" fillId="0" borderId="2" xfId="10" applyNumberFormat="1" applyFont="1" applyFill="1" applyBorder="1" applyAlignment="1" applyProtection="1">
      <alignment horizontal="center"/>
    </xf>
    <xf numFmtId="0" fontId="4" fillId="0" borderId="13" xfId="0" quotePrefix="1" applyFont="1" applyBorder="1" applyAlignment="1">
      <alignment horizontal="center"/>
    </xf>
    <xf numFmtId="14" fontId="4" fillId="0" borderId="13" xfId="0" applyNumberFormat="1" applyFont="1" applyBorder="1" applyAlignment="1">
      <alignment horizontal="center"/>
    </xf>
    <xf numFmtId="49" fontId="4" fillId="0" borderId="13" xfId="0" applyNumberFormat="1" applyFont="1" applyBorder="1" applyAlignment="1">
      <alignment horizontal="center"/>
    </xf>
    <xf numFmtId="0" fontId="12" fillId="0" borderId="0" xfId="0" applyFont="1"/>
    <xf numFmtId="0" fontId="8" fillId="0" borderId="0" xfId="10" applyFont="1" applyFill="1" applyAlignment="1" applyProtection="1">
      <alignment horizontal="center"/>
    </xf>
    <xf numFmtId="168" fontId="4" fillId="0" borderId="1" xfId="5" applyNumberFormat="1" applyFont="1" applyFill="1" applyBorder="1"/>
    <xf numFmtId="167" fontId="8" fillId="0" borderId="1" xfId="10" applyNumberFormat="1" applyFont="1" applyFill="1" applyBorder="1" applyAlignment="1" applyProtection="1">
      <alignment horizontal="center"/>
    </xf>
    <xf numFmtId="49" fontId="4" fillId="0" borderId="0" xfId="1" applyNumberFormat="1" applyFont="1" applyAlignment="1">
      <alignment wrapText="1"/>
    </xf>
    <xf numFmtId="49" fontId="8" fillId="0" borderId="1" xfId="10" quotePrefix="1" applyNumberFormat="1" applyFont="1" applyFill="1" applyBorder="1" applyAlignment="1" applyProtection="1">
      <alignment horizontal="center"/>
    </xf>
    <xf numFmtId="0" fontId="8" fillId="0" borderId="0" xfId="10" quotePrefix="1" applyFont="1" applyFill="1" applyAlignment="1" applyProtection="1">
      <alignment horizontal="center"/>
    </xf>
    <xf numFmtId="42" fontId="8" fillId="0" borderId="1" xfId="10" applyNumberFormat="1" applyFont="1" applyFill="1" applyBorder="1" applyAlignment="1" applyProtection="1">
      <alignment horizontal="center"/>
    </xf>
    <xf numFmtId="0" fontId="8" fillId="0" borderId="1" xfId="10" applyNumberFormat="1" applyFont="1" applyFill="1" applyBorder="1" applyAlignment="1" applyProtection="1">
      <alignment horizontal="center"/>
    </xf>
    <xf numFmtId="42" fontId="8" fillId="0" borderId="1" xfId="10" applyNumberFormat="1" applyFont="1" applyFill="1" applyBorder="1" applyAlignment="1" applyProtection="1">
      <alignment horizontal="left"/>
    </xf>
    <xf numFmtId="166" fontId="8" fillId="0" borderId="1" xfId="10" applyNumberFormat="1" applyFont="1" applyFill="1" applyBorder="1" applyAlignment="1" applyProtection="1">
      <alignment horizontal="center"/>
    </xf>
    <xf numFmtId="43" fontId="8" fillId="0" borderId="0" xfId="10" applyNumberFormat="1" applyFont="1" applyFill="1" applyAlignment="1" applyProtection="1">
      <alignment horizontal="center"/>
    </xf>
    <xf numFmtId="49" fontId="4" fillId="0" borderId="1" xfId="1" applyNumberFormat="1" applyFont="1" applyFill="1" applyBorder="1" applyAlignment="1">
      <alignment horizontal="justify" vertical="center"/>
    </xf>
    <xf numFmtId="168" fontId="4" fillId="0" borderId="1" xfId="5" quotePrefix="1" applyNumberFormat="1" applyFont="1" applyFill="1" applyBorder="1" applyAlignment="1">
      <alignment horizontal="center"/>
    </xf>
    <xf numFmtId="49" fontId="4" fillId="0" borderId="1" xfId="1" applyNumberFormat="1" applyFont="1" applyBorder="1" applyAlignment="1">
      <alignment horizontal="justify" vertical="center"/>
    </xf>
    <xf numFmtId="168" fontId="4" fillId="0" borderId="2" xfId="5" applyNumberFormat="1" applyFont="1" applyFill="1" applyBorder="1" applyAlignment="1">
      <alignment horizontal="center"/>
    </xf>
    <xf numFmtId="49" fontId="4" fillId="0" borderId="1" xfId="0" applyNumberFormat="1" applyFont="1" applyFill="1" applyBorder="1" applyAlignment="1">
      <alignment horizontal="left" wrapText="1"/>
    </xf>
    <xf numFmtId="168" fontId="4" fillId="0" borderId="1" xfId="0" quotePrefix="1" applyNumberFormat="1" applyFont="1" applyFill="1" applyBorder="1" applyAlignment="1">
      <alignment horizontal="center"/>
    </xf>
    <xf numFmtId="49" fontId="4" fillId="0" borderId="1" xfId="0" applyNumberFormat="1" applyFont="1" applyFill="1" applyBorder="1" applyAlignment="1">
      <alignment horizontal="left"/>
    </xf>
    <xf numFmtId="49" fontId="4" fillId="0" borderId="8" xfId="0" applyNumberFormat="1" applyFont="1" applyBorder="1" applyAlignment="1">
      <alignment horizontal="left" wrapText="1"/>
    </xf>
    <xf numFmtId="0" fontId="4" fillId="2" borderId="8" xfId="0" applyFont="1" applyFill="1" applyBorder="1" applyAlignment="1">
      <alignment horizontal="center"/>
    </xf>
    <xf numFmtId="0" fontId="4" fillId="2" borderId="12" xfId="0" applyFont="1" applyFill="1" applyBorder="1" applyAlignment="1">
      <alignment horizontal="center"/>
    </xf>
    <xf numFmtId="0" fontId="4" fillId="2" borderId="9" xfId="0" applyFont="1" applyFill="1" applyBorder="1" applyAlignment="1">
      <alignment horizontal="center"/>
    </xf>
    <xf numFmtId="49" fontId="4" fillId="0" borderId="9" xfId="0" applyNumberFormat="1" applyFont="1" applyBorder="1" applyAlignment="1">
      <alignment horizontal="left" wrapText="1"/>
    </xf>
    <xf numFmtId="0" fontId="4" fillId="0" borderId="5" xfId="0" applyFont="1" applyBorder="1" applyAlignment="1">
      <alignment horizontal="left"/>
    </xf>
    <xf numFmtId="49" fontId="4" fillId="0" borderId="8" xfId="0" applyNumberFormat="1" applyFont="1" applyBorder="1" applyAlignment="1">
      <alignment horizontal="center"/>
    </xf>
    <xf numFmtId="44" fontId="4" fillId="0" borderId="1" xfId="5" applyFont="1" applyFill="1" applyBorder="1"/>
    <xf numFmtId="6" fontId="7" fillId="0" borderId="0" xfId="5" applyNumberFormat="1" applyFont="1"/>
    <xf numFmtId="164" fontId="4" fillId="0" borderId="0" xfId="0" quotePrefix="1" applyNumberFormat="1" applyFont="1" applyAlignment="1">
      <alignment horizontal="left"/>
    </xf>
    <xf numFmtId="44" fontId="4" fillId="0" borderId="0" xfId="5" quotePrefix="1" applyFont="1" applyAlignment="1">
      <alignment horizontal="left"/>
    </xf>
    <xf numFmtId="0" fontId="2" fillId="0" borderId="0" xfId="0" applyFont="1"/>
    <xf numFmtId="164" fontId="6" fillId="0" borderId="0" xfId="10" quotePrefix="1" applyNumberFormat="1" applyFont="1" applyFill="1" applyBorder="1" applyAlignment="1" applyProtection="1">
      <alignment horizontal="center"/>
    </xf>
    <xf numFmtId="0" fontId="6" fillId="0" borderId="8" xfId="10" applyFont="1" applyFill="1" applyBorder="1" applyAlignment="1" applyProtection="1">
      <alignment horizontal="left"/>
    </xf>
    <xf numFmtId="49" fontId="4" fillId="0" borderId="0" xfId="0" applyNumberFormat="1" applyFont="1" applyFill="1"/>
    <xf numFmtId="0" fontId="4" fillId="0" borderId="0" xfId="0" applyFont="1" applyFill="1"/>
    <xf numFmtId="42" fontId="4" fillId="0" borderId="1" xfId="1" applyNumberFormat="1"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0" xfId="0" applyFont="1" applyFill="1" applyBorder="1" applyAlignment="1">
      <alignment horizontal="center"/>
    </xf>
    <xf numFmtId="0" fontId="4" fillId="2" borderId="8" xfId="0" applyFont="1" applyFill="1" applyBorder="1" applyAlignment="1">
      <alignment horizontal="center"/>
    </xf>
    <xf numFmtId="0" fontId="4" fillId="2" borderId="5" xfId="0" applyFont="1" applyFill="1" applyBorder="1" applyAlignment="1">
      <alignment horizontal="center"/>
    </xf>
    <xf numFmtId="0" fontId="4" fillId="2" borderId="9" xfId="0" applyFont="1" applyFill="1" applyBorder="1" applyAlignment="1">
      <alignment horizontal="center"/>
    </xf>
    <xf numFmtId="49" fontId="4" fillId="0" borderId="10" xfId="0" applyNumberFormat="1" applyFont="1" applyBorder="1" applyAlignment="1">
      <alignment horizontal="left" wrapText="1"/>
    </xf>
    <xf numFmtId="49" fontId="4" fillId="0" borderId="8" xfId="0" applyNumberFormat="1" applyFont="1" applyBorder="1" applyAlignment="1">
      <alignment horizontal="left" wrapText="1"/>
    </xf>
    <xf numFmtId="0" fontId="4" fillId="0" borderId="11" xfId="0" applyFont="1" applyBorder="1" applyAlignment="1">
      <alignment horizontal="left"/>
    </xf>
    <xf numFmtId="0" fontId="4" fillId="0" borderId="12" xfId="0" applyFont="1" applyBorder="1" applyAlignment="1">
      <alignment horizontal="left"/>
    </xf>
    <xf numFmtId="0" fontId="4" fillId="0" borderId="10" xfId="0" applyFont="1" applyBorder="1" applyAlignment="1">
      <alignment horizontal="left"/>
    </xf>
    <xf numFmtId="0" fontId="4" fillId="0" borderId="8" xfId="0" applyFont="1" applyBorder="1" applyAlignment="1">
      <alignment horizontal="left"/>
    </xf>
    <xf numFmtId="49" fontId="4" fillId="0" borderId="10" xfId="0" applyNumberFormat="1" applyFont="1" applyBorder="1" applyAlignment="1">
      <alignment horizontal="left"/>
    </xf>
    <xf numFmtId="49" fontId="4" fillId="0" borderId="8" xfId="0" applyNumberFormat="1" applyFont="1" applyBorder="1" applyAlignment="1">
      <alignment horizontal="left"/>
    </xf>
    <xf numFmtId="49" fontId="4" fillId="0" borderId="5" xfId="0" applyNumberFormat="1" applyFont="1" applyBorder="1" applyAlignment="1">
      <alignment horizontal="left" wrapText="1"/>
    </xf>
    <xf numFmtId="49" fontId="4" fillId="0" borderId="9" xfId="0" applyNumberFormat="1" applyFont="1" applyBorder="1" applyAlignment="1">
      <alignment horizontal="left" wrapText="1"/>
    </xf>
    <xf numFmtId="0" fontId="4" fillId="0" borderId="5" xfId="0" applyFont="1" applyBorder="1" applyAlignment="1">
      <alignment horizontal="left"/>
    </xf>
    <xf numFmtId="0" fontId="4" fillId="0" borderId="9" xfId="0" applyFont="1" applyBorder="1" applyAlignment="1">
      <alignment horizontal="left"/>
    </xf>
    <xf numFmtId="49" fontId="4" fillId="0" borderId="11" xfId="0" applyNumberFormat="1" applyFont="1" applyBorder="1" applyAlignment="1">
      <alignment horizontal="left"/>
    </xf>
    <xf numFmtId="49" fontId="4" fillId="0" borderId="12" xfId="0" applyNumberFormat="1" applyFont="1" applyBorder="1" applyAlignment="1">
      <alignment horizontal="left"/>
    </xf>
    <xf numFmtId="49" fontId="4" fillId="0" borderId="5" xfId="0" applyNumberFormat="1" applyFont="1" applyBorder="1" applyAlignment="1">
      <alignment horizontal="left"/>
    </xf>
    <xf numFmtId="49" fontId="4" fillId="0" borderId="9" xfId="0" applyNumberFormat="1" applyFont="1" applyBorder="1" applyAlignment="1">
      <alignment horizontal="left"/>
    </xf>
    <xf numFmtId="43" fontId="4" fillId="0" borderId="11" xfId="1" applyFont="1" applyBorder="1" applyAlignment="1">
      <alignment horizontal="center"/>
    </xf>
    <xf numFmtId="43" fontId="4" fillId="0" borderId="12" xfId="1" applyFont="1" applyBorder="1" applyAlignment="1">
      <alignment horizontal="center"/>
    </xf>
    <xf numFmtId="43" fontId="4" fillId="0" borderId="5" xfId="1" applyFont="1" applyBorder="1" applyAlignment="1">
      <alignment horizontal="center"/>
    </xf>
    <xf numFmtId="43" fontId="4" fillId="0" borderId="9" xfId="1" applyFont="1" applyBorder="1" applyAlignment="1">
      <alignment horizontal="center"/>
    </xf>
    <xf numFmtId="49" fontId="4" fillId="0" borderId="0" xfId="0" applyNumberFormat="1" applyFont="1" applyAlignment="1">
      <alignment vertical="top" wrapText="1"/>
    </xf>
    <xf numFmtId="0" fontId="0" fillId="0" borderId="0" xfId="0" applyAlignment="1">
      <alignment vertical="top" wrapText="1"/>
    </xf>
    <xf numFmtId="0" fontId="0" fillId="0" borderId="8" xfId="0" applyBorder="1" applyAlignment="1">
      <alignment horizontal="left"/>
    </xf>
    <xf numFmtId="43" fontId="4" fillId="0" borderId="14" xfId="1" applyFont="1" applyBorder="1" applyAlignment="1">
      <alignment horizontal="center"/>
    </xf>
    <xf numFmtId="43" fontId="4" fillId="0" borderId="15" xfId="1" applyFont="1" applyBorder="1" applyAlignment="1">
      <alignment horizontal="center"/>
    </xf>
    <xf numFmtId="0" fontId="4" fillId="0" borderId="10" xfId="0" applyFont="1" applyBorder="1"/>
    <xf numFmtId="0" fontId="4" fillId="0" borderId="8" xfId="0" applyFont="1" applyBorder="1"/>
    <xf numFmtId="0" fontId="4" fillId="0" borderId="5" xfId="0" applyFont="1" applyBorder="1"/>
    <xf numFmtId="0" fontId="4" fillId="0" borderId="9" xfId="0" applyFont="1" applyBorder="1"/>
    <xf numFmtId="0" fontId="4" fillId="0" borderId="11" xfId="0" applyFont="1" applyBorder="1" applyAlignment="1">
      <alignment wrapText="1"/>
    </xf>
    <xf numFmtId="0" fontId="4" fillId="0" borderId="12" xfId="0" applyFont="1" applyBorder="1" applyAlignment="1">
      <alignment wrapText="1"/>
    </xf>
    <xf numFmtId="0" fontId="4" fillId="0" borderId="10" xfId="0" applyFont="1" applyBorder="1" applyAlignment="1">
      <alignment horizontal="left" wrapText="1"/>
    </xf>
    <xf numFmtId="0" fontId="4" fillId="0" borderId="8" xfId="0" applyFont="1" applyBorder="1" applyAlignment="1">
      <alignment horizontal="left" wrapText="1"/>
    </xf>
  </cellXfs>
  <cellStyles count="22">
    <cellStyle name="Comma" xfId="1" builtinId="3"/>
    <cellStyle name="Comma 2" xfId="2" xr:uid="{00000000-0005-0000-0000-000001000000}"/>
    <cellStyle name="Comma 2 2" xfId="3" xr:uid="{00000000-0005-0000-0000-000002000000}"/>
    <cellStyle name="Comma 2 2 2" xfId="14" xr:uid="{00000000-0005-0000-0000-000002000000}"/>
    <cellStyle name="Comma 2 3" xfId="13" xr:uid="{00000000-0005-0000-0000-000001000000}"/>
    <cellStyle name="Comma 3" xfId="4" xr:uid="{00000000-0005-0000-0000-000003000000}"/>
    <cellStyle name="Comma 3 2" xfId="15" xr:uid="{00000000-0005-0000-0000-000003000000}"/>
    <cellStyle name="Currency" xfId="5" builtinId="4"/>
    <cellStyle name="Currency 2" xfId="6" xr:uid="{00000000-0005-0000-0000-000005000000}"/>
    <cellStyle name="Currency 2 2" xfId="7" xr:uid="{00000000-0005-0000-0000-000006000000}"/>
    <cellStyle name="Currency 2 2 2" xfId="17" xr:uid="{00000000-0005-0000-0000-000006000000}"/>
    <cellStyle name="Currency 2 3" xfId="16" xr:uid="{00000000-0005-0000-0000-000005000000}"/>
    <cellStyle name="Currency 3" xfId="8" xr:uid="{00000000-0005-0000-0000-000007000000}"/>
    <cellStyle name="Currency 3 2" xfId="18" xr:uid="{00000000-0005-0000-0000-000007000000}"/>
    <cellStyle name="Currency 4" xfId="9" xr:uid="{00000000-0005-0000-0000-000008000000}"/>
    <cellStyle name="Currency 4 2" xfId="19" xr:uid="{00000000-0005-0000-0000-000008000000}"/>
    <cellStyle name="Hyperlink" xfId="10" builtinId="8"/>
    <cellStyle name="Normal" xfId="0" builtinId="0"/>
    <cellStyle name="Normal 2" xfId="11" xr:uid="{00000000-0005-0000-0000-00000B000000}"/>
    <cellStyle name="Normal 2 2" xfId="20" xr:uid="{00000000-0005-0000-0000-00000B000000}"/>
    <cellStyle name="Normal 3" xfId="12" xr:uid="{00000000-0005-0000-0000-00000C000000}"/>
    <cellStyle name="Normal 3 2" xfId="2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r.net/home/showdocument?id=34004" TargetMode="External"/><Relationship Id="rId21" Type="http://schemas.openxmlformats.org/officeDocument/2006/relationships/hyperlink" Target="https://www.cor.net/home/showdocument?id=33994" TargetMode="External"/><Relationship Id="rId42" Type="http://schemas.openxmlformats.org/officeDocument/2006/relationships/hyperlink" Target="https://www.cor.net/home/showdocument?id=34138" TargetMode="External"/><Relationship Id="rId47" Type="http://schemas.openxmlformats.org/officeDocument/2006/relationships/hyperlink" Target="https://www.cor.net/home/showdocument?id=34148" TargetMode="External"/><Relationship Id="rId63" Type="http://schemas.openxmlformats.org/officeDocument/2006/relationships/hyperlink" Target="https://www.cor.net/home/showdocument?id=34348" TargetMode="External"/><Relationship Id="rId68" Type="http://schemas.openxmlformats.org/officeDocument/2006/relationships/hyperlink" Target="https://www.cor.net/home/showdocument?id=34444" TargetMode="External"/><Relationship Id="rId16" Type="http://schemas.openxmlformats.org/officeDocument/2006/relationships/hyperlink" Target="https://www.cor.net/home/showdocument?id=33984" TargetMode="External"/><Relationship Id="rId11" Type="http://schemas.openxmlformats.org/officeDocument/2006/relationships/hyperlink" Target="https://www.cor.net/home/showdocument?id=33922" TargetMode="External"/><Relationship Id="rId24" Type="http://schemas.openxmlformats.org/officeDocument/2006/relationships/hyperlink" Target="https://www.cor.net/home/showdocument?id=34000" TargetMode="External"/><Relationship Id="rId32" Type="http://schemas.openxmlformats.org/officeDocument/2006/relationships/hyperlink" Target="https://www.cor.net/home/showdocument?id=34016" TargetMode="External"/><Relationship Id="rId37" Type="http://schemas.openxmlformats.org/officeDocument/2006/relationships/hyperlink" Target="https://www.cor.net/home/showdocument?id=34074" TargetMode="External"/><Relationship Id="rId40" Type="http://schemas.openxmlformats.org/officeDocument/2006/relationships/hyperlink" Target="https://www.cor.net/home/showdocument?id=34136" TargetMode="External"/><Relationship Id="rId45" Type="http://schemas.openxmlformats.org/officeDocument/2006/relationships/hyperlink" Target="https://www.cor.net/home/showdocument?id=34144" TargetMode="External"/><Relationship Id="rId53" Type="http://schemas.openxmlformats.org/officeDocument/2006/relationships/hyperlink" Target="https://www.cor.net/home/showdocument?id=34254" TargetMode="External"/><Relationship Id="rId58" Type="http://schemas.openxmlformats.org/officeDocument/2006/relationships/hyperlink" Target="https://www.cor.net/home/showdocument?id=34338" TargetMode="External"/><Relationship Id="rId66" Type="http://schemas.openxmlformats.org/officeDocument/2006/relationships/hyperlink" Target="https://www.cor.net/home/showdocument?id=34354" TargetMode="External"/><Relationship Id="rId74" Type="http://schemas.openxmlformats.org/officeDocument/2006/relationships/hyperlink" Target="https://www.cor.net/home/showdocument?id=34509" TargetMode="External"/><Relationship Id="rId79" Type="http://schemas.openxmlformats.org/officeDocument/2006/relationships/hyperlink" Target="https://www.cor.net/home/showdocument?id=34505" TargetMode="External"/><Relationship Id="rId5" Type="http://schemas.openxmlformats.org/officeDocument/2006/relationships/hyperlink" Target="https://www.cor.net/home/showdocument?id=33780" TargetMode="External"/><Relationship Id="rId61" Type="http://schemas.openxmlformats.org/officeDocument/2006/relationships/hyperlink" Target="https://www.cor.net/home/showdocument?id=34344" TargetMode="External"/><Relationship Id="rId19" Type="http://schemas.openxmlformats.org/officeDocument/2006/relationships/hyperlink" Target="https://www.cor.net/home/showdocument?id=33990" TargetMode="External"/><Relationship Id="rId14" Type="http://schemas.openxmlformats.org/officeDocument/2006/relationships/hyperlink" Target="https://www.cor.net/home/showdocument?id=33980" TargetMode="External"/><Relationship Id="rId22" Type="http://schemas.openxmlformats.org/officeDocument/2006/relationships/hyperlink" Target="https://www.cor.net/home/showdocument?id=33996" TargetMode="External"/><Relationship Id="rId27" Type="http://schemas.openxmlformats.org/officeDocument/2006/relationships/hyperlink" Target="https://www.cor.net/home/showdocument?id=34006" TargetMode="External"/><Relationship Id="rId30" Type="http://schemas.openxmlformats.org/officeDocument/2006/relationships/hyperlink" Target="https://www.cor.net/home/showdocument?id=34012" TargetMode="External"/><Relationship Id="rId35" Type="http://schemas.openxmlformats.org/officeDocument/2006/relationships/hyperlink" Target="https://www.cor.net/home/showdocument?id=34070" TargetMode="External"/><Relationship Id="rId43" Type="http://schemas.openxmlformats.org/officeDocument/2006/relationships/hyperlink" Target="https://www.cor.net/home/showdocument?id=34140" TargetMode="External"/><Relationship Id="rId48" Type="http://schemas.openxmlformats.org/officeDocument/2006/relationships/hyperlink" Target="https://www.cor.net/home/showdocument?id=34150" TargetMode="External"/><Relationship Id="rId56" Type="http://schemas.openxmlformats.org/officeDocument/2006/relationships/hyperlink" Target="https://www.cor.net/home/showdocument?id=34288" TargetMode="External"/><Relationship Id="rId64" Type="http://schemas.openxmlformats.org/officeDocument/2006/relationships/hyperlink" Target="https://www.cor.net/home/showdocument?id=34350" TargetMode="External"/><Relationship Id="rId69" Type="http://schemas.openxmlformats.org/officeDocument/2006/relationships/hyperlink" Target="https://www.cor.net/home/showdocument?id=34446" TargetMode="External"/><Relationship Id="rId77" Type="http://schemas.openxmlformats.org/officeDocument/2006/relationships/hyperlink" Target="https://www.cor.net/home/showdocument?id=34513" TargetMode="External"/><Relationship Id="rId8" Type="http://schemas.openxmlformats.org/officeDocument/2006/relationships/hyperlink" Target="https://www.cor.net/home/showdocument?id=33886" TargetMode="External"/><Relationship Id="rId51" Type="http://schemas.openxmlformats.org/officeDocument/2006/relationships/hyperlink" Target="https://www.cor.net/home/showdocument?id=34250" TargetMode="External"/><Relationship Id="rId72" Type="http://schemas.openxmlformats.org/officeDocument/2006/relationships/hyperlink" Target="https://www.cor.net/home/showdocument?id=34450" TargetMode="External"/><Relationship Id="rId80" Type="http://schemas.openxmlformats.org/officeDocument/2006/relationships/hyperlink" Target="https://www.cor.net/home/showdocument?id=34507" TargetMode="External"/><Relationship Id="rId3" Type="http://schemas.openxmlformats.org/officeDocument/2006/relationships/hyperlink" Target="https://www.cor.net/home/showdocument?id=33776" TargetMode="External"/><Relationship Id="rId12" Type="http://schemas.openxmlformats.org/officeDocument/2006/relationships/hyperlink" Target="https://www.cor.net/home/showdocument?id=33924" TargetMode="External"/><Relationship Id="rId17" Type="http://schemas.openxmlformats.org/officeDocument/2006/relationships/hyperlink" Target="https://www.cor.net/home/showdocument?id=33984" TargetMode="External"/><Relationship Id="rId25" Type="http://schemas.openxmlformats.org/officeDocument/2006/relationships/hyperlink" Target="https://www.cor.net/home/showdocument?id=34002" TargetMode="External"/><Relationship Id="rId33" Type="http://schemas.openxmlformats.org/officeDocument/2006/relationships/hyperlink" Target="https://www.cor.net/home/showdocument?id=34018" TargetMode="External"/><Relationship Id="rId38" Type="http://schemas.openxmlformats.org/officeDocument/2006/relationships/hyperlink" Target="https://www.cor.net/home/showdocument?id=34076" TargetMode="External"/><Relationship Id="rId46" Type="http://schemas.openxmlformats.org/officeDocument/2006/relationships/hyperlink" Target="https://www.cor.net/home/showdocument?id=34146" TargetMode="External"/><Relationship Id="rId59" Type="http://schemas.openxmlformats.org/officeDocument/2006/relationships/hyperlink" Target="https://www.cor.net/home/showdocument?id=34340" TargetMode="External"/><Relationship Id="rId67" Type="http://schemas.openxmlformats.org/officeDocument/2006/relationships/hyperlink" Target="https://www.cor.net/home/showdocument?id=34356" TargetMode="External"/><Relationship Id="rId20" Type="http://schemas.openxmlformats.org/officeDocument/2006/relationships/hyperlink" Target="https://www.cor.net/home/showdocument?id=33992" TargetMode="External"/><Relationship Id="rId41" Type="http://schemas.openxmlformats.org/officeDocument/2006/relationships/hyperlink" Target="https://www.cor.net/home/showdocument?id=34134" TargetMode="External"/><Relationship Id="rId54" Type="http://schemas.openxmlformats.org/officeDocument/2006/relationships/hyperlink" Target="https://www.cor.net/home/showdocument?id=34284" TargetMode="External"/><Relationship Id="rId62" Type="http://schemas.openxmlformats.org/officeDocument/2006/relationships/hyperlink" Target="https://www.cor.net/home/showdocument?id=34346" TargetMode="External"/><Relationship Id="rId70" Type="http://schemas.openxmlformats.org/officeDocument/2006/relationships/hyperlink" Target="https://www.cor.net/home/showdocument?id=34448" TargetMode="External"/><Relationship Id="rId75" Type="http://schemas.openxmlformats.org/officeDocument/2006/relationships/hyperlink" Target="https://www.cor.net/home/showdocument?id=34503" TargetMode="External"/><Relationship Id="rId1" Type="http://schemas.openxmlformats.org/officeDocument/2006/relationships/hyperlink" Target="https://www.cor.net/home/showdocument?id=33686" TargetMode="External"/><Relationship Id="rId6" Type="http://schemas.openxmlformats.org/officeDocument/2006/relationships/hyperlink" Target="https://www.cor.net/home/showdocument?id=33782" TargetMode="External"/><Relationship Id="rId15" Type="http://schemas.openxmlformats.org/officeDocument/2006/relationships/hyperlink" Target="https://www.cor.net/home/showdocument?id=33982" TargetMode="External"/><Relationship Id="rId23" Type="http://schemas.openxmlformats.org/officeDocument/2006/relationships/hyperlink" Target="https://www.cor.net/home/showdocument?id=33998" TargetMode="External"/><Relationship Id="rId28" Type="http://schemas.openxmlformats.org/officeDocument/2006/relationships/hyperlink" Target="https://www.cor.net/home/showdocument?id=34008" TargetMode="External"/><Relationship Id="rId36" Type="http://schemas.openxmlformats.org/officeDocument/2006/relationships/hyperlink" Target="https://www.cor.net/home/showdocument?id=34072" TargetMode="External"/><Relationship Id="rId49" Type="http://schemas.openxmlformats.org/officeDocument/2006/relationships/hyperlink" Target="https://www.cor.net/home/showdocument?id=34152" TargetMode="External"/><Relationship Id="rId57" Type="http://schemas.openxmlformats.org/officeDocument/2006/relationships/hyperlink" Target="https://www.cor.net/home/showdocument?id=34290" TargetMode="External"/><Relationship Id="rId10" Type="http://schemas.openxmlformats.org/officeDocument/2006/relationships/hyperlink" Target="https://www.cor.net/home/showdocument?id=33884" TargetMode="External"/><Relationship Id="rId31" Type="http://schemas.openxmlformats.org/officeDocument/2006/relationships/hyperlink" Target="https://www.cor.net/home/showdocument?id=34014" TargetMode="External"/><Relationship Id="rId44" Type="http://schemas.openxmlformats.org/officeDocument/2006/relationships/hyperlink" Target="https://www.cor.net/home/showdocument?id=34142" TargetMode="External"/><Relationship Id="rId52" Type="http://schemas.openxmlformats.org/officeDocument/2006/relationships/hyperlink" Target="https://www.cor.net/home/showdocument?id=34252" TargetMode="External"/><Relationship Id="rId60" Type="http://schemas.openxmlformats.org/officeDocument/2006/relationships/hyperlink" Target="https://www.cor.net/home/showdocument?id=34342" TargetMode="External"/><Relationship Id="rId65" Type="http://schemas.openxmlformats.org/officeDocument/2006/relationships/hyperlink" Target="https://www.cor.net/home/showdocument?id=34352" TargetMode="External"/><Relationship Id="rId73" Type="http://schemas.openxmlformats.org/officeDocument/2006/relationships/hyperlink" Target="https://www.cor.net/home/showdocument?id=34452" TargetMode="External"/><Relationship Id="rId78" Type="http://schemas.openxmlformats.org/officeDocument/2006/relationships/hyperlink" Target="https://www.cor.net/home/showdocument?id=34515" TargetMode="External"/><Relationship Id="rId4" Type="http://schemas.openxmlformats.org/officeDocument/2006/relationships/hyperlink" Target="https://www.cor.net/home/showdocument?id=33778" TargetMode="External"/><Relationship Id="rId9" Type="http://schemas.openxmlformats.org/officeDocument/2006/relationships/hyperlink" Target="https://www.cor.net/home/showdocument?id=33888" TargetMode="External"/><Relationship Id="rId13" Type="http://schemas.openxmlformats.org/officeDocument/2006/relationships/hyperlink" Target="https://www.cor.net/home/showdocument?id=33926" TargetMode="External"/><Relationship Id="rId18" Type="http://schemas.openxmlformats.org/officeDocument/2006/relationships/hyperlink" Target="https://www.cor.net/home/showdocument?id=33988" TargetMode="External"/><Relationship Id="rId39" Type="http://schemas.openxmlformats.org/officeDocument/2006/relationships/hyperlink" Target="https://www.cor.net/home/showdocument?id=34132" TargetMode="External"/><Relationship Id="rId34" Type="http://schemas.openxmlformats.org/officeDocument/2006/relationships/hyperlink" Target="https://www.cor.net/home/showdocument?id=34068" TargetMode="External"/><Relationship Id="rId50" Type="http://schemas.openxmlformats.org/officeDocument/2006/relationships/hyperlink" Target="https://www.cor.net/home/showdocument?id=34248" TargetMode="External"/><Relationship Id="rId55" Type="http://schemas.openxmlformats.org/officeDocument/2006/relationships/hyperlink" Target="https://www.cor.net/home/showdocument?id=34286" TargetMode="External"/><Relationship Id="rId76" Type="http://schemas.openxmlformats.org/officeDocument/2006/relationships/hyperlink" Target="https://www.cor.net/home/showdocument?id=34511" TargetMode="External"/><Relationship Id="rId7" Type="http://schemas.openxmlformats.org/officeDocument/2006/relationships/hyperlink" Target="https://www.cor.net/home/showdocument?id=33784" TargetMode="External"/><Relationship Id="rId71" Type="http://schemas.openxmlformats.org/officeDocument/2006/relationships/hyperlink" Target="https://www.cor.net/home/showdocument?id=34442" TargetMode="External"/><Relationship Id="rId2" Type="http://schemas.openxmlformats.org/officeDocument/2006/relationships/hyperlink" Target="https://www.cor.net/home/showdocument?id=33774" TargetMode="External"/><Relationship Id="rId29" Type="http://schemas.openxmlformats.org/officeDocument/2006/relationships/hyperlink" Target="https://www.cor.net/home/showdocument?id=34010"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cor.net/home/showdocument?id=31558" TargetMode="External"/><Relationship Id="rId21" Type="http://schemas.openxmlformats.org/officeDocument/2006/relationships/hyperlink" Target="https://www.cor.net/home/showpublisheddocument?id=30052" TargetMode="External"/><Relationship Id="rId42" Type="http://schemas.openxmlformats.org/officeDocument/2006/relationships/hyperlink" Target="https://www.cor.net/home/showpublisheddocument?id=30445" TargetMode="External"/><Relationship Id="rId63" Type="http://schemas.openxmlformats.org/officeDocument/2006/relationships/hyperlink" Target="https://www.cor.net/home/showpublisheddocument?id=30655" TargetMode="External"/><Relationship Id="rId84" Type="http://schemas.openxmlformats.org/officeDocument/2006/relationships/hyperlink" Target="https://www.cor.net/home/showpublisheddocument?id=30944" TargetMode="External"/><Relationship Id="rId138" Type="http://schemas.openxmlformats.org/officeDocument/2006/relationships/hyperlink" Target="https://www.cor.net/home/showdocument?id=33260" TargetMode="External"/><Relationship Id="rId159" Type="http://schemas.openxmlformats.org/officeDocument/2006/relationships/hyperlink" Target="https://www.cor.net/home/showdocument?id=33430" TargetMode="External"/><Relationship Id="rId170" Type="http://schemas.openxmlformats.org/officeDocument/2006/relationships/hyperlink" Target="https://www.cor.net/home/showdocument?id=33604" TargetMode="External"/><Relationship Id="rId191" Type="http://schemas.openxmlformats.org/officeDocument/2006/relationships/hyperlink" Target="https://www.cor.net/home/showdocument?id=33762" TargetMode="External"/><Relationship Id="rId107" Type="http://schemas.openxmlformats.org/officeDocument/2006/relationships/hyperlink" Target="https://www.cor.net/home/showdocument?id=31442" TargetMode="External"/><Relationship Id="rId11" Type="http://schemas.openxmlformats.org/officeDocument/2006/relationships/hyperlink" Target="https://www.cor.net/home/showdocument?id=29689" TargetMode="External"/><Relationship Id="rId32" Type="http://schemas.openxmlformats.org/officeDocument/2006/relationships/hyperlink" Target="https://www.cor.net/home/showpublisheddocument?id=30179" TargetMode="External"/><Relationship Id="rId53" Type="http://schemas.openxmlformats.org/officeDocument/2006/relationships/hyperlink" Target="https://www.cor.net/home/showpublisheddocument?id=30560" TargetMode="External"/><Relationship Id="rId74" Type="http://schemas.openxmlformats.org/officeDocument/2006/relationships/hyperlink" Target="https://www.cor.net/home/showpublisheddocument?id=30880" TargetMode="External"/><Relationship Id="rId128" Type="http://schemas.openxmlformats.org/officeDocument/2006/relationships/hyperlink" Target="https://www.cor.net/home/showdocument?id=32667" TargetMode="External"/><Relationship Id="rId149" Type="http://schemas.openxmlformats.org/officeDocument/2006/relationships/hyperlink" Target="https://www.cor.net/home/showdocument?id=33318" TargetMode="External"/><Relationship Id="rId5" Type="http://schemas.openxmlformats.org/officeDocument/2006/relationships/hyperlink" Target="https://www.cor.net/home/showdocument?id=29838" TargetMode="External"/><Relationship Id="rId95" Type="http://schemas.openxmlformats.org/officeDocument/2006/relationships/hyperlink" Target="https://www.cor.net/home/showdocument?id=31305" TargetMode="External"/><Relationship Id="rId160" Type="http://schemas.openxmlformats.org/officeDocument/2006/relationships/hyperlink" Target="https://www.cor.net/home/showdocument?id=33500" TargetMode="External"/><Relationship Id="rId181" Type="http://schemas.openxmlformats.org/officeDocument/2006/relationships/hyperlink" Target="https://www.cor.net/home/showdocument?id=33680" TargetMode="External"/><Relationship Id="rId22" Type="http://schemas.openxmlformats.org/officeDocument/2006/relationships/hyperlink" Target="https://www.cor.net/home/showpublisheddocument?id=30169" TargetMode="External"/><Relationship Id="rId43" Type="http://schemas.openxmlformats.org/officeDocument/2006/relationships/hyperlink" Target="https://www.cor.net/home/showpublisheddocument?id=30447" TargetMode="External"/><Relationship Id="rId64" Type="http://schemas.openxmlformats.org/officeDocument/2006/relationships/hyperlink" Target="https://www.cor.net/home/showpublisheddocument?id=30796" TargetMode="External"/><Relationship Id="rId118" Type="http://schemas.openxmlformats.org/officeDocument/2006/relationships/hyperlink" Target="https://www.cor.net/home/showdocument?id=31566" TargetMode="External"/><Relationship Id="rId139" Type="http://schemas.openxmlformats.org/officeDocument/2006/relationships/hyperlink" Target="https://www.cor.net/home/showdocument?id=33262" TargetMode="External"/><Relationship Id="rId85" Type="http://schemas.openxmlformats.org/officeDocument/2006/relationships/hyperlink" Target="https://www.cor.net/home/showpublisheddocument?id=30936" TargetMode="External"/><Relationship Id="rId150" Type="http://schemas.openxmlformats.org/officeDocument/2006/relationships/hyperlink" Target="https://www.cor.net/home/showdocument?id=33320" TargetMode="External"/><Relationship Id="rId171" Type="http://schemas.openxmlformats.org/officeDocument/2006/relationships/hyperlink" Target="https://www.cor.net/home/showdocument?id=33606" TargetMode="External"/><Relationship Id="rId192" Type="http://schemas.openxmlformats.org/officeDocument/2006/relationships/hyperlink" Target="https://www.cor.net/home/showdocument?id=33764" TargetMode="External"/><Relationship Id="rId12" Type="http://schemas.openxmlformats.org/officeDocument/2006/relationships/hyperlink" Target="https://www.cor.net/home/showdocument?id=29691" TargetMode="External"/><Relationship Id="rId33" Type="http://schemas.openxmlformats.org/officeDocument/2006/relationships/hyperlink" Target="https://www.cor.net/home/showpublisheddocument?id=30181" TargetMode="External"/><Relationship Id="rId108" Type="http://schemas.openxmlformats.org/officeDocument/2006/relationships/hyperlink" Target="https://www.cor.net/home/showdocument?id=31514" TargetMode="External"/><Relationship Id="rId129" Type="http://schemas.openxmlformats.org/officeDocument/2006/relationships/hyperlink" Target="https://www.cor.net/home/showdocument?id=32665" TargetMode="External"/><Relationship Id="rId54" Type="http://schemas.openxmlformats.org/officeDocument/2006/relationships/hyperlink" Target="https://www.cor.net/home/showpublisheddocument?id=30562" TargetMode="External"/><Relationship Id="rId75" Type="http://schemas.openxmlformats.org/officeDocument/2006/relationships/hyperlink" Target="https://www.cor.net/home/showpublisheddocument?id=30882" TargetMode="External"/><Relationship Id="rId96" Type="http://schemas.openxmlformats.org/officeDocument/2006/relationships/hyperlink" Target="https://www.cor.net/home/showdocument?id=31303" TargetMode="External"/><Relationship Id="rId140" Type="http://schemas.openxmlformats.org/officeDocument/2006/relationships/hyperlink" Target="https://www.cor.net/home/showdocument?id=33264" TargetMode="External"/><Relationship Id="rId161" Type="http://schemas.openxmlformats.org/officeDocument/2006/relationships/hyperlink" Target="https://www.cor.net/home/showdocument?id=33502" TargetMode="External"/><Relationship Id="rId182" Type="http://schemas.openxmlformats.org/officeDocument/2006/relationships/hyperlink" Target="https://www.cor.net/home/showdocument?id=33682" TargetMode="External"/><Relationship Id="rId6" Type="http://schemas.openxmlformats.org/officeDocument/2006/relationships/hyperlink" Target="https://www.cor.net/home/showdocument?id=29840" TargetMode="External"/><Relationship Id="rId23" Type="http://schemas.openxmlformats.org/officeDocument/2006/relationships/hyperlink" Target="https://www.cor.net/home/showpublisheddocument?id=30107" TargetMode="External"/><Relationship Id="rId119" Type="http://schemas.openxmlformats.org/officeDocument/2006/relationships/hyperlink" Target="https://www.cor.net/home/showdocument?id=31570" TargetMode="External"/><Relationship Id="rId44" Type="http://schemas.openxmlformats.org/officeDocument/2006/relationships/hyperlink" Target="https://www.cor.net/home/showpublisheddocument?id=30449" TargetMode="External"/><Relationship Id="rId65" Type="http://schemas.openxmlformats.org/officeDocument/2006/relationships/hyperlink" Target="https://www.cor.net/home/showpublisheddocument?id=30609" TargetMode="External"/><Relationship Id="rId86" Type="http://schemas.openxmlformats.org/officeDocument/2006/relationships/hyperlink" Target="https://www.cor.net/home/showpublisheddocument?id=31067" TargetMode="External"/><Relationship Id="rId130" Type="http://schemas.openxmlformats.org/officeDocument/2006/relationships/hyperlink" Target="https://www.cor.net/home/showdocument?id=33211" TargetMode="External"/><Relationship Id="rId151" Type="http://schemas.openxmlformats.org/officeDocument/2006/relationships/hyperlink" Target="https://www.cor.net/home/showdocument?id=33380" TargetMode="External"/><Relationship Id="rId172" Type="http://schemas.openxmlformats.org/officeDocument/2006/relationships/hyperlink" Target="https://www.cor.net/home/showdocument?id=33608" TargetMode="External"/><Relationship Id="rId193" Type="http://schemas.openxmlformats.org/officeDocument/2006/relationships/hyperlink" Target="https://www.cor.net/home/showdocument?id=33766" TargetMode="External"/><Relationship Id="rId13" Type="http://schemas.openxmlformats.org/officeDocument/2006/relationships/hyperlink" Target="https://www.cor.net/home/showdocument?id=29882" TargetMode="External"/><Relationship Id="rId109" Type="http://schemas.openxmlformats.org/officeDocument/2006/relationships/hyperlink" Target="https://www.cor.net/home/showdocument?id=31516" TargetMode="External"/><Relationship Id="rId34" Type="http://schemas.openxmlformats.org/officeDocument/2006/relationships/hyperlink" Target="https://www.cor.net/home/showpublisheddocument?id=30183" TargetMode="External"/><Relationship Id="rId55" Type="http://schemas.openxmlformats.org/officeDocument/2006/relationships/hyperlink" Target="https://www.cor.net/home/showpublisheddocument?id=30564" TargetMode="External"/><Relationship Id="rId76" Type="http://schemas.openxmlformats.org/officeDocument/2006/relationships/hyperlink" Target="https://www.cor.net/home/showpublisheddocument?id=30884" TargetMode="External"/><Relationship Id="rId97" Type="http://schemas.openxmlformats.org/officeDocument/2006/relationships/hyperlink" Target="https://www.cor.net/home/showdocument?id=31297" TargetMode="External"/><Relationship Id="rId120" Type="http://schemas.openxmlformats.org/officeDocument/2006/relationships/hyperlink" Target="https://www.cor.net/home/showdocument?id=31597" TargetMode="External"/><Relationship Id="rId141" Type="http://schemas.openxmlformats.org/officeDocument/2006/relationships/hyperlink" Target="https://www.cor.net/home/showdocument?id=33266" TargetMode="External"/><Relationship Id="rId7" Type="http://schemas.openxmlformats.org/officeDocument/2006/relationships/hyperlink" Target="https://www.cor.net/home/showdocument?id=29842" TargetMode="External"/><Relationship Id="rId71" Type="http://schemas.openxmlformats.org/officeDocument/2006/relationships/hyperlink" Target="https://www.cor.net/home/showpublisheddocument?id=30808" TargetMode="External"/><Relationship Id="rId92" Type="http://schemas.openxmlformats.org/officeDocument/2006/relationships/hyperlink" Target="https://www.cor.net/home/showdocument?id=31299" TargetMode="External"/><Relationship Id="rId162" Type="http://schemas.openxmlformats.org/officeDocument/2006/relationships/hyperlink" Target="https://www.cor.net/home/showdocument?id=33506" TargetMode="External"/><Relationship Id="rId183" Type="http://schemas.openxmlformats.org/officeDocument/2006/relationships/hyperlink" Target="https://www.cor.net/home/showdocument?id=33684" TargetMode="External"/><Relationship Id="rId2" Type="http://schemas.openxmlformats.org/officeDocument/2006/relationships/hyperlink" Target="https://www.cor.net/home/showdocument?id=29779" TargetMode="External"/><Relationship Id="rId29" Type="http://schemas.openxmlformats.org/officeDocument/2006/relationships/hyperlink" Target="https://www.cor.net/home/showpublisheddocument?id=30173" TargetMode="External"/><Relationship Id="rId24" Type="http://schemas.openxmlformats.org/officeDocument/2006/relationships/hyperlink" Target="https://www.cor.net/home/showpublisheddocument?id=30113" TargetMode="External"/><Relationship Id="rId40" Type="http://schemas.openxmlformats.org/officeDocument/2006/relationships/hyperlink" Target="https://www.cor.net/home/showpublisheddocument?id=30441" TargetMode="External"/><Relationship Id="rId45" Type="http://schemas.openxmlformats.org/officeDocument/2006/relationships/hyperlink" Target="https://www.cor.net/home/showpublisheddocument?id=30451" TargetMode="External"/><Relationship Id="rId66" Type="http://schemas.openxmlformats.org/officeDocument/2006/relationships/hyperlink" Target="https://www.cor.net/home/showpublisheddocument?id=30798" TargetMode="External"/><Relationship Id="rId87" Type="http://schemas.openxmlformats.org/officeDocument/2006/relationships/hyperlink" Target="https://www.cor.net/home/showpublisheddocument?id=31069" TargetMode="External"/><Relationship Id="rId110" Type="http://schemas.openxmlformats.org/officeDocument/2006/relationships/hyperlink" Target="https://www.cor.net/home/showdocument?id=31518" TargetMode="External"/><Relationship Id="rId115" Type="http://schemas.openxmlformats.org/officeDocument/2006/relationships/hyperlink" Target="https://www.cor.net/home/showdocument?id=31554" TargetMode="External"/><Relationship Id="rId131" Type="http://schemas.openxmlformats.org/officeDocument/2006/relationships/hyperlink" Target="https://www.cor.net/home/showdocument?id=33213" TargetMode="External"/><Relationship Id="rId136" Type="http://schemas.openxmlformats.org/officeDocument/2006/relationships/hyperlink" Target="https://www.cor.net/home/showdocument?id=33223" TargetMode="External"/><Relationship Id="rId157" Type="http://schemas.openxmlformats.org/officeDocument/2006/relationships/hyperlink" Target="https://www.cor.net/home/showdocument?id=33394" TargetMode="External"/><Relationship Id="rId178" Type="http://schemas.openxmlformats.org/officeDocument/2006/relationships/hyperlink" Target="https://www.cor.net/home/showdocument?id=33674" TargetMode="External"/><Relationship Id="rId61" Type="http://schemas.openxmlformats.org/officeDocument/2006/relationships/hyperlink" Target="https://www.cor.net/home/showpublisheddocument?id=30605" TargetMode="External"/><Relationship Id="rId82" Type="http://schemas.openxmlformats.org/officeDocument/2006/relationships/hyperlink" Target="https://www.cor.net/home/showpublisheddocument?id=30940" TargetMode="External"/><Relationship Id="rId152" Type="http://schemas.openxmlformats.org/officeDocument/2006/relationships/hyperlink" Target="https://www.cor.net/home/showdocument?id=33384" TargetMode="External"/><Relationship Id="rId173" Type="http://schemas.openxmlformats.org/officeDocument/2006/relationships/hyperlink" Target="https://www.cor.net/home/showdocument?id=33610" TargetMode="External"/><Relationship Id="rId194" Type="http://schemas.openxmlformats.org/officeDocument/2006/relationships/hyperlink" Target="https://www.cor.net/home/showdocument?id=33768" TargetMode="External"/><Relationship Id="rId199" Type="http://schemas.openxmlformats.org/officeDocument/2006/relationships/hyperlink" Target="https://www.cor.net/home/showdocument?id=33878" TargetMode="External"/><Relationship Id="rId19" Type="http://schemas.openxmlformats.org/officeDocument/2006/relationships/hyperlink" Target="https://www.cor.net/home/showdocument?id=30031" TargetMode="External"/><Relationship Id="rId14" Type="http://schemas.openxmlformats.org/officeDocument/2006/relationships/hyperlink" Target="https://www.cor.net/home/showdocument?id=29973" TargetMode="External"/><Relationship Id="rId30" Type="http://schemas.openxmlformats.org/officeDocument/2006/relationships/hyperlink" Target="https://www.cor.net/home/showpublisheddocument?id=30175" TargetMode="External"/><Relationship Id="rId35" Type="http://schemas.openxmlformats.org/officeDocument/2006/relationships/hyperlink" Target="https://www.cor.net/home/showpublisheddocument?id=30185" TargetMode="External"/><Relationship Id="rId56" Type="http://schemas.openxmlformats.org/officeDocument/2006/relationships/hyperlink" Target="https://www.cor.net/home/showpublisheddocument?id=30558" TargetMode="External"/><Relationship Id="rId77" Type="http://schemas.openxmlformats.org/officeDocument/2006/relationships/hyperlink" Target="https://www.cor.net/home/showpublisheddocument?id=30886" TargetMode="External"/><Relationship Id="rId100" Type="http://schemas.openxmlformats.org/officeDocument/2006/relationships/hyperlink" Target="https://www.cor.net/home/showdocument?id=31398" TargetMode="External"/><Relationship Id="rId105" Type="http://schemas.openxmlformats.org/officeDocument/2006/relationships/hyperlink" Target="https://www.cor.net/home/showdocument?id=31444" TargetMode="External"/><Relationship Id="rId126" Type="http://schemas.openxmlformats.org/officeDocument/2006/relationships/hyperlink" Target="https://www.cor.net/home/showdocument?id=32661" TargetMode="External"/><Relationship Id="rId147" Type="http://schemas.openxmlformats.org/officeDocument/2006/relationships/hyperlink" Target="https://www.cor.net/home/showdocument?id=33314" TargetMode="External"/><Relationship Id="rId168" Type="http://schemas.openxmlformats.org/officeDocument/2006/relationships/hyperlink" Target="https://www.cor.net/home/showdocument?id=33516" TargetMode="External"/><Relationship Id="rId8" Type="http://schemas.openxmlformats.org/officeDocument/2006/relationships/hyperlink" Target="https://www.cor.net/home/showdocument?id=29844" TargetMode="External"/><Relationship Id="rId51" Type="http://schemas.openxmlformats.org/officeDocument/2006/relationships/hyperlink" Target="https://www.cor.net/home/showpublisheddocument?id=30492" TargetMode="External"/><Relationship Id="rId72" Type="http://schemas.openxmlformats.org/officeDocument/2006/relationships/hyperlink" Target="https://www.cor.net/home/showpublisheddocument?id=30810" TargetMode="External"/><Relationship Id="rId93" Type="http://schemas.openxmlformats.org/officeDocument/2006/relationships/hyperlink" Target="https://www.cor.net/home/showdocument?id=31311" TargetMode="External"/><Relationship Id="rId98" Type="http://schemas.openxmlformats.org/officeDocument/2006/relationships/hyperlink" Target="https://www.cor.net/home/showdocument?id=31341" TargetMode="External"/><Relationship Id="rId121" Type="http://schemas.openxmlformats.org/officeDocument/2006/relationships/hyperlink" Target="https://www.cor.net/home/showdocument?id=31599" TargetMode="External"/><Relationship Id="rId142" Type="http://schemas.openxmlformats.org/officeDocument/2006/relationships/hyperlink" Target="https://www.cor.net/home/showdocument?id=33268" TargetMode="External"/><Relationship Id="rId163" Type="http://schemas.openxmlformats.org/officeDocument/2006/relationships/hyperlink" Target="https://www.cor.net/home/showdocument?id=33508" TargetMode="External"/><Relationship Id="rId184" Type="http://schemas.openxmlformats.org/officeDocument/2006/relationships/hyperlink" Target="https://www.cor.net/home/showdocument?id=33748" TargetMode="External"/><Relationship Id="rId189" Type="http://schemas.openxmlformats.org/officeDocument/2006/relationships/hyperlink" Target="https://www.cor.net/home/showdocument?id=33758" TargetMode="External"/><Relationship Id="rId3" Type="http://schemas.openxmlformats.org/officeDocument/2006/relationships/hyperlink" Target="https://www.cor.net/home/showdocument?id=29834" TargetMode="External"/><Relationship Id="rId25" Type="http://schemas.openxmlformats.org/officeDocument/2006/relationships/hyperlink" Target="https://www.cor.net/home/showpublisheddocument?id=30109" TargetMode="External"/><Relationship Id="rId46" Type="http://schemas.openxmlformats.org/officeDocument/2006/relationships/hyperlink" Target="https://www.cor.net/home/showpublisheddocument?id=30453" TargetMode="External"/><Relationship Id="rId67" Type="http://schemas.openxmlformats.org/officeDocument/2006/relationships/hyperlink" Target="https://www.cor.net/home/showpublisheddocument?id=30800" TargetMode="External"/><Relationship Id="rId116" Type="http://schemas.openxmlformats.org/officeDocument/2006/relationships/hyperlink" Target="https://www.cor.net/home/showdocument?id=31556" TargetMode="External"/><Relationship Id="rId137" Type="http://schemas.openxmlformats.org/officeDocument/2006/relationships/hyperlink" Target="https://www.cor.net/home/showdocument?id=33225" TargetMode="External"/><Relationship Id="rId158" Type="http://schemas.openxmlformats.org/officeDocument/2006/relationships/hyperlink" Target="https://www.cor.net/home/showdocument?id=33428" TargetMode="External"/><Relationship Id="rId20" Type="http://schemas.openxmlformats.org/officeDocument/2006/relationships/hyperlink" Target="https://www.cor.net/home/showdocument?id=30033" TargetMode="External"/><Relationship Id="rId41" Type="http://schemas.openxmlformats.org/officeDocument/2006/relationships/hyperlink" Target="https://www.cor.net/home/showpublisheddocument?id=30443" TargetMode="External"/><Relationship Id="rId62" Type="http://schemas.openxmlformats.org/officeDocument/2006/relationships/hyperlink" Target="https://www.cor.net/home/showpublisheddocument?id=30607" TargetMode="External"/><Relationship Id="rId83" Type="http://schemas.openxmlformats.org/officeDocument/2006/relationships/hyperlink" Target="https://www.cor.net/home/showpublisheddocument?id=30942" TargetMode="External"/><Relationship Id="rId88" Type="http://schemas.openxmlformats.org/officeDocument/2006/relationships/hyperlink" Target="https://www.cor.net/home/showpublisheddocument?id=31071" TargetMode="External"/><Relationship Id="rId111" Type="http://schemas.openxmlformats.org/officeDocument/2006/relationships/hyperlink" Target="https://www.cor.net/home/showdocument?id=31520" TargetMode="External"/><Relationship Id="rId132" Type="http://schemas.openxmlformats.org/officeDocument/2006/relationships/hyperlink" Target="https://www.cor.net/home/showdocument?id=33215" TargetMode="External"/><Relationship Id="rId153" Type="http://schemas.openxmlformats.org/officeDocument/2006/relationships/hyperlink" Target="https://www.cor.net/home/showdocument?id=33386" TargetMode="External"/><Relationship Id="rId174" Type="http://schemas.openxmlformats.org/officeDocument/2006/relationships/hyperlink" Target="https://www.cor.net/home/showdocument?id=33612" TargetMode="External"/><Relationship Id="rId179" Type="http://schemas.openxmlformats.org/officeDocument/2006/relationships/hyperlink" Target="https://www.cor.net/home/showdocument?id=33676" TargetMode="External"/><Relationship Id="rId195" Type="http://schemas.openxmlformats.org/officeDocument/2006/relationships/hyperlink" Target="https://www.cor.net/home/showdocument?id=33770" TargetMode="External"/><Relationship Id="rId190" Type="http://schemas.openxmlformats.org/officeDocument/2006/relationships/hyperlink" Target="https://www.cor.net/home/showdocument?id=33760" TargetMode="External"/><Relationship Id="rId15" Type="http://schemas.openxmlformats.org/officeDocument/2006/relationships/hyperlink" Target="https://www.cor.net/home/showdocument?id=29977" TargetMode="External"/><Relationship Id="rId36" Type="http://schemas.openxmlformats.org/officeDocument/2006/relationships/hyperlink" Target="https://www.cor.net/home/showpublisheddocument?id=30161" TargetMode="External"/><Relationship Id="rId57" Type="http://schemas.openxmlformats.org/officeDocument/2006/relationships/hyperlink" Target="https://www.cor.net/home/showpublisheddocument?id=30566" TargetMode="External"/><Relationship Id="rId106" Type="http://schemas.openxmlformats.org/officeDocument/2006/relationships/hyperlink" Target="https://www.cor.net/home/showdocument?id=31446" TargetMode="External"/><Relationship Id="rId127" Type="http://schemas.openxmlformats.org/officeDocument/2006/relationships/hyperlink" Target="https://www.cor.net/home/showdocument?id=32663" TargetMode="External"/><Relationship Id="rId10" Type="http://schemas.openxmlformats.org/officeDocument/2006/relationships/hyperlink" Target="https://www.cor.net/home/showdocument?id=29781" TargetMode="External"/><Relationship Id="rId31" Type="http://schemas.openxmlformats.org/officeDocument/2006/relationships/hyperlink" Target="https://www.cor.net/home/showpublisheddocument?id=30177" TargetMode="External"/><Relationship Id="rId52" Type="http://schemas.openxmlformats.org/officeDocument/2006/relationships/hyperlink" Target="https://www.cor.net/home/showpublisheddocument?id=30494" TargetMode="External"/><Relationship Id="rId73" Type="http://schemas.openxmlformats.org/officeDocument/2006/relationships/hyperlink" Target="https://www.cor.net/home/showpublisheddocument?id=30878" TargetMode="External"/><Relationship Id="rId78" Type="http://schemas.openxmlformats.org/officeDocument/2006/relationships/hyperlink" Target="https://www.cor.net/home/showpublisheddocument?id=30888" TargetMode="External"/><Relationship Id="rId94" Type="http://schemas.openxmlformats.org/officeDocument/2006/relationships/hyperlink" Target="https://www.cor.net/home/showdocument?id=31301" TargetMode="External"/><Relationship Id="rId99" Type="http://schemas.openxmlformats.org/officeDocument/2006/relationships/hyperlink" Target="https://www.cor.net/home/showdocument?id=31343" TargetMode="External"/><Relationship Id="rId101" Type="http://schemas.openxmlformats.org/officeDocument/2006/relationships/hyperlink" Target="https://www.cor.net/home/showdocument?id=31432" TargetMode="External"/><Relationship Id="rId122" Type="http://schemas.openxmlformats.org/officeDocument/2006/relationships/hyperlink" Target="https://www.cor.net/home/showdocument?id=31601" TargetMode="External"/><Relationship Id="rId143" Type="http://schemas.openxmlformats.org/officeDocument/2006/relationships/hyperlink" Target="https://www.cor.net/home/showdocument?id=33270" TargetMode="External"/><Relationship Id="rId148" Type="http://schemas.openxmlformats.org/officeDocument/2006/relationships/hyperlink" Target="https://www.cor.net/home/showdocument?id=33316" TargetMode="External"/><Relationship Id="rId164" Type="http://schemas.openxmlformats.org/officeDocument/2006/relationships/hyperlink" Target="https://www.cor.net/home/showdocument?id=33510" TargetMode="External"/><Relationship Id="rId169" Type="http://schemas.openxmlformats.org/officeDocument/2006/relationships/hyperlink" Target="https://www.cor.net/home/showdocument?id=33602" TargetMode="External"/><Relationship Id="rId185" Type="http://schemas.openxmlformats.org/officeDocument/2006/relationships/hyperlink" Target="https://www.cor.net/home/showdocument?id=33750" TargetMode="External"/><Relationship Id="rId4" Type="http://schemas.openxmlformats.org/officeDocument/2006/relationships/hyperlink" Target="https://www.cor.net/home/showdocument?id=29836" TargetMode="External"/><Relationship Id="rId9" Type="http://schemas.openxmlformats.org/officeDocument/2006/relationships/hyperlink" Target="https://www.cor.net/home/showdocument?id=29846" TargetMode="External"/><Relationship Id="rId180" Type="http://schemas.openxmlformats.org/officeDocument/2006/relationships/hyperlink" Target="https://www.cor.net/home/showdocument?id=33678" TargetMode="External"/><Relationship Id="rId26" Type="http://schemas.openxmlformats.org/officeDocument/2006/relationships/hyperlink" Target="https://www.cor.net/home/showpublisheddocument?id=30165" TargetMode="External"/><Relationship Id="rId47" Type="http://schemas.openxmlformats.org/officeDocument/2006/relationships/hyperlink" Target="https://www.cor.net/home/showpublisheddocument?id=30455" TargetMode="External"/><Relationship Id="rId68" Type="http://schemas.openxmlformats.org/officeDocument/2006/relationships/hyperlink" Target="https://www.cor.net/home/showpublisheddocument?id=30802" TargetMode="External"/><Relationship Id="rId89" Type="http://schemas.openxmlformats.org/officeDocument/2006/relationships/hyperlink" Target="https://www.cor.net/home/showpublisheddocument?id=31161" TargetMode="External"/><Relationship Id="rId112" Type="http://schemas.openxmlformats.org/officeDocument/2006/relationships/hyperlink" Target="https://www.cor.net/home/showdocument?id=31522" TargetMode="External"/><Relationship Id="rId133" Type="http://schemas.openxmlformats.org/officeDocument/2006/relationships/hyperlink" Target="https://www.cor.net/home/showdocument?id=33217" TargetMode="External"/><Relationship Id="rId154" Type="http://schemas.openxmlformats.org/officeDocument/2006/relationships/hyperlink" Target="https://www.cor.net/home/showdocument?id=33388" TargetMode="External"/><Relationship Id="rId175" Type="http://schemas.openxmlformats.org/officeDocument/2006/relationships/hyperlink" Target="https://www.cor.net/home/showdocument?id=33614" TargetMode="External"/><Relationship Id="rId196" Type="http://schemas.openxmlformats.org/officeDocument/2006/relationships/hyperlink" Target="https://www.cor.net/home/showdocument?id=33772" TargetMode="External"/><Relationship Id="rId200" Type="http://schemas.openxmlformats.org/officeDocument/2006/relationships/printerSettings" Target="../printerSettings/printerSettings1.bin"/><Relationship Id="rId16" Type="http://schemas.openxmlformats.org/officeDocument/2006/relationships/hyperlink" Target="https://www.cor.net/home/showdocument?id=29979" TargetMode="External"/><Relationship Id="rId37" Type="http://schemas.openxmlformats.org/officeDocument/2006/relationships/hyperlink" Target="https://www.cor.net/home/showpublisheddocument?id=30171" TargetMode="External"/><Relationship Id="rId58" Type="http://schemas.openxmlformats.org/officeDocument/2006/relationships/hyperlink" Target="https://www.cor.net/home/showpublisheddocument?id=30611" TargetMode="External"/><Relationship Id="rId79" Type="http://schemas.openxmlformats.org/officeDocument/2006/relationships/hyperlink" Target="https://www.cor.net/home/showpublisheddocument?id=30890" TargetMode="External"/><Relationship Id="rId102" Type="http://schemas.openxmlformats.org/officeDocument/2006/relationships/hyperlink" Target="https://www.cor.net/home/showdocument?id=31434" TargetMode="External"/><Relationship Id="rId123" Type="http://schemas.openxmlformats.org/officeDocument/2006/relationships/hyperlink" Target="https://www.cor.net/home/showdocument?id=33876" TargetMode="External"/><Relationship Id="rId144" Type="http://schemas.openxmlformats.org/officeDocument/2006/relationships/hyperlink" Target="https://www.cor.net/home/showdocument?id=33272" TargetMode="External"/><Relationship Id="rId90" Type="http://schemas.openxmlformats.org/officeDocument/2006/relationships/hyperlink" Target="https://www.cor.net/home/showpublisheddocument?id=31163" TargetMode="External"/><Relationship Id="rId165" Type="http://schemas.openxmlformats.org/officeDocument/2006/relationships/hyperlink" Target="https://www.cor.net/home/showdocument?id=33504" TargetMode="External"/><Relationship Id="rId186" Type="http://schemas.openxmlformats.org/officeDocument/2006/relationships/hyperlink" Target="https://www.cor.net/home/showdocument?id=33752" TargetMode="External"/><Relationship Id="rId27" Type="http://schemas.openxmlformats.org/officeDocument/2006/relationships/hyperlink" Target="https://www.cor.net/home/showpublisheddocument?id=30163" TargetMode="External"/><Relationship Id="rId48" Type="http://schemas.openxmlformats.org/officeDocument/2006/relationships/hyperlink" Target="https://www.cor.net/home/showpublisheddocument?id=29848" TargetMode="External"/><Relationship Id="rId69" Type="http://schemas.openxmlformats.org/officeDocument/2006/relationships/hyperlink" Target="https://www.cor.net/home/showpublisheddocument?id=30804" TargetMode="External"/><Relationship Id="rId113" Type="http://schemas.openxmlformats.org/officeDocument/2006/relationships/hyperlink" Target="https://www.cor.net/home/showdocument?id=31550" TargetMode="External"/><Relationship Id="rId134" Type="http://schemas.openxmlformats.org/officeDocument/2006/relationships/hyperlink" Target="https://www.cor.net/home/showdocument?id=33219" TargetMode="External"/><Relationship Id="rId80" Type="http://schemas.openxmlformats.org/officeDocument/2006/relationships/hyperlink" Target="https://www.cor.net/home/showpublisheddocument?id=30926" TargetMode="External"/><Relationship Id="rId155" Type="http://schemas.openxmlformats.org/officeDocument/2006/relationships/hyperlink" Target="https://www.cor.net/home/showdocument?id=33390" TargetMode="External"/><Relationship Id="rId176" Type="http://schemas.openxmlformats.org/officeDocument/2006/relationships/hyperlink" Target="https://www.cor.net/home/showdocument?id=33668" TargetMode="External"/><Relationship Id="rId197" Type="http://schemas.openxmlformats.org/officeDocument/2006/relationships/hyperlink" Target="https://www.cor.net/home/showdocument?id=33880" TargetMode="External"/><Relationship Id="rId17" Type="http://schemas.openxmlformats.org/officeDocument/2006/relationships/hyperlink" Target="https://www.cor.net/home/showdocument?id=29981" TargetMode="External"/><Relationship Id="rId38" Type="http://schemas.openxmlformats.org/officeDocument/2006/relationships/hyperlink" Target="https://www.cor.net/home/showpublisheddocument?id=30227" TargetMode="External"/><Relationship Id="rId59" Type="http://schemas.openxmlformats.org/officeDocument/2006/relationships/hyperlink" Target="https://www.cor.net/home/showpublisheddocument?id=30615" TargetMode="External"/><Relationship Id="rId103" Type="http://schemas.openxmlformats.org/officeDocument/2006/relationships/hyperlink" Target="https://www.cor.net/home/showdocument?id=31436" TargetMode="External"/><Relationship Id="rId124" Type="http://schemas.openxmlformats.org/officeDocument/2006/relationships/hyperlink" Target="https://www.cor.net/home/showdocument?id=32657" TargetMode="External"/><Relationship Id="rId70" Type="http://schemas.openxmlformats.org/officeDocument/2006/relationships/hyperlink" Target="https://www.cor.net/home/showpublisheddocument?id=30806" TargetMode="External"/><Relationship Id="rId91" Type="http://schemas.openxmlformats.org/officeDocument/2006/relationships/hyperlink" Target="https://www.cor.net/home/showpublisheddocument?id=31165" TargetMode="External"/><Relationship Id="rId145" Type="http://schemas.openxmlformats.org/officeDocument/2006/relationships/hyperlink" Target="https://www.cor.net/home/showdocument?id=33274" TargetMode="External"/><Relationship Id="rId166" Type="http://schemas.openxmlformats.org/officeDocument/2006/relationships/hyperlink" Target="https://www.cor.net/home/showdocument?id=33512" TargetMode="External"/><Relationship Id="rId187" Type="http://schemas.openxmlformats.org/officeDocument/2006/relationships/hyperlink" Target="https://www.cor.net/home/showdocument?id=33754" TargetMode="External"/><Relationship Id="rId1" Type="http://schemas.openxmlformats.org/officeDocument/2006/relationships/hyperlink" Target="https://www.cor.net/home/showdocument?id=29832" TargetMode="External"/><Relationship Id="rId28" Type="http://schemas.openxmlformats.org/officeDocument/2006/relationships/hyperlink" Target="https://www.cor.net/home/showpublisheddocument?id=30167" TargetMode="External"/><Relationship Id="rId49" Type="http://schemas.openxmlformats.org/officeDocument/2006/relationships/hyperlink" Target="https://www.cor.net/home/showpublisheddocument?id=29975" TargetMode="External"/><Relationship Id="rId114" Type="http://schemas.openxmlformats.org/officeDocument/2006/relationships/hyperlink" Target="https://www.cor.net/home/showdocument?id=31552" TargetMode="External"/><Relationship Id="rId60" Type="http://schemas.openxmlformats.org/officeDocument/2006/relationships/hyperlink" Target="https://www.cor.net/home/showpublisheddocument?id=30613" TargetMode="External"/><Relationship Id="rId81" Type="http://schemas.openxmlformats.org/officeDocument/2006/relationships/hyperlink" Target="https://www.cor.net/home/showpublisheddocument?id=30938" TargetMode="External"/><Relationship Id="rId135" Type="http://schemas.openxmlformats.org/officeDocument/2006/relationships/hyperlink" Target="https://home/showdocument?id=33221" TargetMode="External"/><Relationship Id="rId156" Type="http://schemas.openxmlformats.org/officeDocument/2006/relationships/hyperlink" Target="https://www.cor.net/home/showdocument?id=33392" TargetMode="External"/><Relationship Id="rId177" Type="http://schemas.openxmlformats.org/officeDocument/2006/relationships/hyperlink" Target="https://www.cor.net/home/showdocument?id=33670" TargetMode="External"/><Relationship Id="rId198" Type="http://schemas.openxmlformats.org/officeDocument/2006/relationships/hyperlink" Target="https://www.cor.net/home/showdocument?id=33882" TargetMode="External"/><Relationship Id="rId18" Type="http://schemas.openxmlformats.org/officeDocument/2006/relationships/hyperlink" Target="https://www.cor.net/home/showdocument?id=30029" TargetMode="External"/><Relationship Id="rId39" Type="http://schemas.openxmlformats.org/officeDocument/2006/relationships/hyperlink" Target="https://www.cor.net/home/showpublisheddocument?id=30225" TargetMode="External"/><Relationship Id="rId50" Type="http://schemas.openxmlformats.org/officeDocument/2006/relationships/hyperlink" Target="https://www.cor.net/home/showpublisheddocument?id=30490" TargetMode="External"/><Relationship Id="rId104" Type="http://schemas.openxmlformats.org/officeDocument/2006/relationships/hyperlink" Target="https://www.cor.net/home/showdocument?id=31442" TargetMode="External"/><Relationship Id="rId125" Type="http://schemas.openxmlformats.org/officeDocument/2006/relationships/hyperlink" Target="https://www.cor.net/home/showdocument?id=32659" TargetMode="External"/><Relationship Id="rId146" Type="http://schemas.openxmlformats.org/officeDocument/2006/relationships/hyperlink" Target="https://www.cor.net/home/showdocument?id=33382" TargetMode="External"/><Relationship Id="rId167" Type="http://schemas.openxmlformats.org/officeDocument/2006/relationships/hyperlink" Target="https://www.cor.net/home/showdocument?id=33514" TargetMode="External"/><Relationship Id="rId188" Type="http://schemas.openxmlformats.org/officeDocument/2006/relationships/hyperlink" Target="https://www.cor.net/home/showdocument?id=33756"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cor.net/home/showdocument?id=28670" TargetMode="External"/><Relationship Id="rId21" Type="http://schemas.openxmlformats.org/officeDocument/2006/relationships/hyperlink" Target="https://www.cor.net/home/showdocument?id=27383" TargetMode="External"/><Relationship Id="rId42" Type="http://schemas.openxmlformats.org/officeDocument/2006/relationships/hyperlink" Target="https://www.cor.net/home/showdocument?id=27719" TargetMode="External"/><Relationship Id="rId63" Type="http://schemas.openxmlformats.org/officeDocument/2006/relationships/hyperlink" Target="https://www.cor.net/home/showdocument?id=28183" TargetMode="External"/><Relationship Id="rId84" Type="http://schemas.openxmlformats.org/officeDocument/2006/relationships/hyperlink" Target="https://www.cor.net/home/showdocument?id=28446" TargetMode="External"/><Relationship Id="rId138" Type="http://schemas.openxmlformats.org/officeDocument/2006/relationships/hyperlink" Target="https://www.cor.net/home/showdocument?id=28762" TargetMode="External"/><Relationship Id="rId159" Type="http://schemas.openxmlformats.org/officeDocument/2006/relationships/hyperlink" Target="https://www.cor.net/home/showdocument?id=29098" TargetMode="External"/><Relationship Id="rId170" Type="http://schemas.openxmlformats.org/officeDocument/2006/relationships/hyperlink" Target="https://www.cor.net/home/showdocument?id=29166" TargetMode="External"/><Relationship Id="rId191" Type="http://schemas.openxmlformats.org/officeDocument/2006/relationships/hyperlink" Target="https://www.cor.net/home/showdocument?id=29319" TargetMode="External"/><Relationship Id="rId205" Type="http://schemas.openxmlformats.org/officeDocument/2006/relationships/hyperlink" Target="https://www.cor.net/home/showdocument?id=29417" TargetMode="External"/><Relationship Id="rId226" Type="http://schemas.openxmlformats.org/officeDocument/2006/relationships/hyperlink" Target="https://www.cor.net/home/showdocument?id=29703" TargetMode="External"/><Relationship Id="rId247" Type="http://schemas.openxmlformats.org/officeDocument/2006/relationships/hyperlink" Target="https://www.cor.net/home/showpublisheddocument?id=28187" TargetMode="External"/><Relationship Id="rId107" Type="http://schemas.openxmlformats.org/officeDocument/2006/relationships/hyperlink" Target="https://www.cor.net/home/showdocument?id=28562" TargetMode="External"/><Relationship Id="rId11" Type="http://schemas.openxmlformats.org/officeDocument/2006/relationships/hyperlink" Target="https://www.cor.net/home/showdocument?id=27363" TargetMode="External"/><Relationship Id="rId32" Type="http://schemas.openxmlformats.org/officeDocument/2006/relationships/hyperlink" Target="https://www.cor.net/home/showdocument?id=27549" TargetMode="External"/><Relationship Id="rId53" Type="http://schemas.openxmlformats.org/officeDocument/2006/relationships/hyperlink" Target="https://www.cor.net/home/showdocument?id=28155" TargetMode="External"/><Relationship Id="rId74" Type="http://schemas.openxmlformats.org/officeDocument/2006/relationships/hyperlink" Target="https://www.cor.net/home/showdocument?id=28362" TargetMode="External"/><Relationship Id="rId128" Type="http://schemas.openxmlformats.org/officeDocument/2006/relationships/hyperlink" Target="https://www.cor.net/home/showdocument?id=28764" TargetMode="External"/><Relationship Id="rId149" Type="http://schemas.openxmlformats.org/officeDocument/2006/relationships/hyperlink" Target="https://www.cor.net/home/showdocument?id=29040" TargetMode="External"/><Relationship Id="rId5" Type="http://schemas.openxmlformats.org/officeDocument/2006/relationships/hyperlink" Target="https://www.cor.net/home/showdocument?id=27351" TargetMode="External"/><Relationship Id="rId95" Type="http://schemas.openxmlformats.org/officeDocument/2006/relationships/hyperlink" Target="https://www.cor.net/home/showdocument?id=28518" TargetMode="External"/><Relationship Id="rId160" Type="http://schemas.openxmlformats.org/officeDocument/2006/relationships/hyperlink" Target="https://www.cor.net/home/showdocument?id=29104" TargetMode="External"/><Relationship Id="rId181" Type="http://schemas.openxmlformats.org/officeDocument/2006/relationships/hyperlink" Target="https://www.cor.net/home/showdocument?id=29295" TargetMode="External"/><Relationship Id="rId216" Type="http://schemas.openxmlformats.org/officeDocument/2006/relationships/hyperlink" Target="https://www.cor.net/home/showdocument?id=29603" TargetMode="External"/><Relationship Id="rId237" Type="http://schemas.openxmlformats.org/officeDocument/2006/relationships/hyperlink" Target="https://www.cor.net/home/showpublisheddocument?id=29785" TargetMode="External"/><Relationship Id="rId258" Type="http://schemas.openxmlformats.org/officeDocument/2006/relationships/printerSettings" Target="../printerSettings/printerSettings2.bin"/><Relationship Id="rId22" Type="http://schemas.openxmlformats.org/officeDocument/2006/relationships/hyperlink" Target="https://www.cor.net/home/showdocument?id=27385" TargetMode="External"/><Relationship Id="rId43" Type="http://schemas.openxmlformats.org/officeDocument/2006/relationships/hyperlink" Target="https://www.cor.net/home/showdocument?id=27699" TargetMode="External"/><Relationship Id="rId64" Type="http://schemas.openxmlformats.org/officeDocument/2006/relationships/hyperlink" Target="https://www.cor.net/home/showdocument?id=28185" TargetMode="External"/><Relationship Id="rId118" Type="http://schemas.openxmlformats.org/officeDocument/2006/relationships/hyperlink" Target="https://www.cor.net/home/showdocument?id=28668" TargetMode="External"/><Relationship Id="rId139" Type="http://schemas.openxmlformats.org/officeDocument/2006/relationships/hyperlink" Target="https://www.cor.net/home/showdocument?id=28820" TargetMode="External"/><Relationship Id="rId85" Type="http://schemas.openxmlformats.org/officeDocument/2006/relationships/hyperlink" Target="https://www.cor.net/home/showdocument?id=28506" TargetMode="External"/><Relationship Id="rId150" Type="http://schemas.openxmlformats.org/officeDocument/2006/relationships/hyperlink" Target="https://www.cor.net/home/showdocument?id=29042" TargetMode="External"/><Relationship Id="rId171" Type="http://schemas.openxmlformats.org/officeDocument/2006/relationships/hyperlink" Target="https://www.cor.net/home/showdocument?id=29168" TargetMode="External"/><Relationship Id="rId192" Type="http://schemas.openxmlformats.org/officeDocument/2006/relationships/hyperlink" Target="https://www.cor.net/home/showdocument?id=29321" TargetMode="External"/><Relationship Id="rId206" Type="http://schemas.openxmlformats.org/officeDocument/2006/relationships/hyperlink" Target="https://www.cor.net/home/showdocument?id=29419" TargetMode="External"/><Relationship Id="rId227" Type="http://schemas.openxmlformats.org/officeDocument/2006/relationships/hyperlink" Target="https://www.cor.net/home/showdocument?id=29705" TargetMode="External"/><Relationship Id="rId248" Type="http://schemas.openxmlformats.org/officeDocument/2006/relationships/hyperlink" Target="https://www.cor.net/home/showpublisheddocument?id=27387" TargetMode="External"/><Relationship Id="rId12" Type="http://schemas.openxmlformats.org/officeDocument/2006/relationships/hyperlink" Target="https://www.cor.net/home/showdocument?id=27365" TargetMode="External"/><Relationship Id="rId33" Type="http://schemas.openxmlformats.org/officeDocument/2006/relationships/hyperlink" Target="https://www.cor.net/home/showdocument?id=27557" TargetMode="External"/><Relationship Id="rId108" Type="http://schemas.openxmlformats.org/officeDocument/2006/relationships/hyperlink" Target="https://www.cor.net/home/showdocument?id=28666" TargetMode="External"/><Relationship Id="rId129" Type="http://schemas.openxmlformats.org/officeDocument/2006/relationships/hyperlink" Target="https://www.cor.net/home/showdocument?id=28794" TargetMode="External"/><Relationship Id="rId54" Type="http://schemas.openxmlformats.org/officeDocument/2006/relationships/hyperlink" Target="https://www.cor.net/home/showdocument?id=28157" TargetMode="External"/><Relationship Id="rId75" Type="http://schemas.openxmlformats.org/officeDocument/2006/relationships/hyperlink" Target="https://www.cor.net/home/showdocument?id=28364" TargetMode="External"/><Relationship Id="rId96" Type="http://schemas.openxmlformats.org/officeDocument/2006/relationships/hyperlink" Target="https://www.cor.net/home/showdocument?id=28510" TargetMode="External"/><Relationship Id="rId140" Type="http://schemas.openxmlformats.org/officeDocument/2006/relationships/hyperlink" Target="https://www.cor.net/home/showdocument?id=28876" TargetMode="External"/><Relationship Id="rId161" Type="http://schemas.openxmlformats.org/officeDocument/2006/relationships/hyperlink" Target="https://www.cor.net/home/showdocument?id=29100" TargetMode="External"/><Relationship Id="rId182" Type="http://schemas.openxmlformats.org/officeDocument/2006/relationships/hyperlink" Target="https://www.cor.net/home/showdocument?id=29297" TargetMode="External"/><Relationship Id="rId217" Type="http://schemas.openxmlformats.org/officeDocument/2006/relationships/hyperlink" Target="https://www.cor.net/home/showdocument?id=29607" TargetMode="External"/><Relationship Id="rId6" Type="http://schemas.openxmlformats.org/officeDocument/2006/relationships/hyperlink" Target="https://www.cor.net/home/showdocument?id=27353" TargetMode="External"/><Relationship Id="rId238" Type="http://schemas.openxmlformats.org/officeDocument/2006/relationships/hyperlink" Target="https://www.cor.net/home/showpublisheddocument?id=29605" TargetMode="External"/><Relationship Id="rId23" Type="http://schemas.openxmlformats.org/officeDocument/2006/relationships/hyperlink" Target="https://www.cor.net/home/showdocument?id=27389" TargetMode="External"/><Relationship Id="rId119" Type="http://schemas.openxmlformats.org/officeDocument/2006/relationships/hyperlink" Target="https://www.cor.net/home/showdocument?id=28664" TargetMode="External"/><Relationship Id="rId44" Type="http://schemas.openxmlformats.org/officeDocument/2006/relationships/hyperlink" Target="https://www.cor.net/home/showdocument?id=27703" TargetMode="External"/><Relationship Id="rId65" Type="http://schemas.openxmlformats.org/officeDocument/2006/relationships/hyperlink" Target="https://www.cor.net/home/showdocument?id=28189" TargetMode="External"/><Relationship Id="rId86" Type="http://schemas.openxmlformats.org/officeDocument/2006/relationships/hyperlink" Target="https://www.cor.net/home/showdocument?id=28502" TargetMode="External"/><Relationship Id="rId130" Type="http://schemas.openxmlformats.org/officeDocument/2006/relationships/hyperlink" Target="https://www.cor.net/home/showdocument?id=28818" TargetMode="External"/><Relationship Id="rId151" Type="http://schemas.openxmlformats.org/officeDocument/2006/relationships/hyperlink" Target="https://www.cor.net/home/showdocument?id=29044" TargetMode="External"/><Relationship Id="rId172" Type="http://schemas.openxmlformats.org/officeDocument/2006/relationships/hyperlink" Target="https://www.cor.net/home/showdocument?id=29172" TargetMode="External"/><Relationship Id="rId193" Type="http://schemas.openxmlformats.org/officeDocument/2006/relationships/hyperlink" Target="https://www.cor.net/home/showdocument?id=29377" TargetMode="External"/><Relationship Id="rId207" Type="http://schemas.openxmlformats.org/officeDocument/2006/relationships/hyperlink" Target="https://www.cor.net/home/showdocument?id=29433" TargetMode="External"/><Relationship Id="rId228" Type="http://schemas.openxmlformats.org/officeDocument/2006/relationships/hyperlink" Target="https://www.cor.net/home/showdocument?id=29707" TargetMode="External"/><Relationship Id="rId249" Type="http://schemas.openxmlformats.org/officeDocument/2006/relationships/hyperlink" Target="https://www.cor.net/home/showpublisheddocument?id=27397" TargetMode="External"/><Relationship Id="rId13" Type="http://schemas.openxmlformats.org/officeDocument/2006/relationships/hyperlink" Target="https://www.cor.net/home/showdocument?id=27367" TargetMode="External"/><Relationship Id="rId109" Type="http://schemas.openxmlformats.org/officeDocument/2006/relationships/hyperlink" Target="https://www.cor.net/home/showdocument?id=28674" TargetMode="External"/><Relationship Id="rId34" Type="http://schemas.openxmlformats.org/officeDocument/2006/relationships/hyperlink" Target="https://www.cor.net/home/showdocument?id=27559" TargetMode="External"/><Relationship Id="rId55" Type="http://schemas.openxmlformats.org/officeDocument/2006/relationships/hyperlink" Target="https://www.cor.net/home/showdocument?id=28159" TargetMode="External"/><Relationship Id="rId76" Type="http://schemas.openxmlformats.org/officeDocument/2006/relationships/hyperlink" Target="https://www.cor.net/home/showdocument?id=28366" TargetMode="External"/><Relationship Id="rId97" Type="http://schemas.openxmlformats.org/officeDocument/2006/relationships/hyperlink" Target="https://www.cor.net/home/showdocument?id=28530" TargetMode="External"/><Relationship Id="rId120" Type="http://schemas.openxmlformats.org/officeDocument/2006/relationships/hyperlink" Target="https://www.cor.net/home/showdocument?id=28698" TargetMode="External"/><Relationship Id="rId141" Type="http://schemas.openxmlformats.org/officeDocument/2006/relationships/hyperlink" Target="https://www.cor.net/home/showdocument?id=28878" TargetMode="External"/><Relationship Id="rId7" Type="http://schemas.openxmlformats.org/officeDocument/2006/relationships/hyperlink" Target="https://www.cor.net/home/showdocument?id=27355" TargetMode="External"/><Relationship Id="rId162" Type="http://schemas.openxmlformats.org/officeDocument/2006/relationships/hyperlink" Target="https://www.cor.net/home/showdocument?id=29106" TargetMode="External"/><Relationship Id="rId183" Type="http://schemas.openxmlformats.org/officeDocument/2006/relationships/hyperlink" Target="https://www.cor.net/home/showdocument?id=29299" TargetMode="External"/><Relationship Id="rId218" Type="http://schemas.openxmlformats.org/officeDocument/2006/relationships/hyperlink" Target="https://www.cor.net/home/showdocument?id=29609" TargetMode="External"/><Relationship Id="rId239" Type="http://schemas.openxmlformats.org/officeDocument/2006/relationships/hyperlink" Target="https://www.cor.net/home/showpublisheddocument?id=29327" TargetMode="External"/><Relationship Id="rId250" Type="http://schemas.openxmlformats.org/officeDocument/2006/relationships/hyperlink" Target="https://www.cor.net/home/showpublisheddocument?id=27401" TargetMode="External"/><Relationship Id="rId24" Type="http://schemas.openxmlformats.org/officeDocument/2006/relationships/hyperlink" Target="https://www.cor.net/home/showdocument?id=27391" TargetMode="External"/><Relationship Id="rId45" Type="http://schemas.openxmlformats.org/officeDocument/2006/relationships/hyperlink" Target="https://www.cor.net/home/showdocument?id=27697" TargetMode="External"/><Relationship Id="rId66" Type="http://schemas.openxmlformats.org/officeDocument/2006/relationships/hyperlink" Target="https://www.cor.net/home/showdocument?id=28251" TargetMode="External"/><Relationship Id="rId87" Type="http://schemas.openxmlformats.org/officeDocument/2006/relationships/hyperlink" Target="https://www.cor.net/home/showdocument?id=28504" TargetMode="External"/><Relationship Id="rId110" Type="http://schemas.openxmlformats.org/officeDocument/2006/relationships/hyperlink" Target="https://www.cor.net/home/showdocument?id=28672" TargetMode="External"/><Relationship Id="rId131" Type="http://schemas.openxmlformats.org/officeDocument/2006/relationships/hyperlink" Target="https://www.cor.net/home/showdocument?id=28808" TargetMode="External"/><Relationship Id="rId152" Type="http://schemas.openxmlformats.org/officeDocument/2006/relationships/hyperlink" Target="https://www.cor.net/home/showdocument?id=29046" TargetMode="External"/><Relationship Id="rId173" Type="http://schemas.openxmlformats.org/officeDocument/2006/relationships/hyperlink" Target="https://www.cor.net/home/showdocument?id=29174" TargetMode="External"/><Relationship Id="rId194" Type="http://schemas.openxmlformats.org/officeDocument/2006/relationships/hyperlink" Target="https://www.cor.net/home/showdocument?id=29381" TargetMode="External"/><Relationship Id="rId208" Type="http://schemas.openxmlformats.org/officeDocument/2006/relationships/hyperlink" Target="https://www.cor.net/home/showdocument?id=29481" TargetMode="External"/><Relationship Id="rId229" Type="http://schemas.openxmlformats.org/officeDocument/2006/relationships/hyperlink" Target="https://www.cor.net/home/showdocument?id=29850" TargetMode="External"/><Relationship Id="rId240" Type="http://schemas.openxmlformats.org/officeDocument/2006/relationships/hyperlink" Target="https://www.cor.net/home/showpublisheddocument?id=29170" TargetMode="External"/><Relationship Id="rId14" Type="http://schemas.openxmlformats.org/officeDocument/2006/relationships/hyperlink" Target="https://www.cor.net/home/showdocument?id=27373" TargetMode="External"/><Relationship Id="rId35" Type="http://schemas.openxmlformats.org/officeDocument/2006/relationships/hyperlink" Target="https://www.cor.net/home/showdocument?id=27561" TargetMode="External"/><Relationship Id="rId56" Type="http://schemas.openxmlformats.org/officeDocument/2006/relationships/hyperlink" Target="https://www.cor.net/home/showdocument?id=28169" TargetMode="External"/><Relationship Id="rId77" Type="http://schemas.openxmlformats.org/officeDocument/2006/relationships/hyperlink" Target="https://www.cor.net/home/showdocument?id=28350" TargetMode="External"/><Relationship Id="rId100" Type="http://schemas.openxmlformats.org/officeDocument/2006/relationships/hyperlink" Target="https://www.cor.net/home/showdocument?id=28558" TargetMode="External"/><Relationship Id="rId8" Type="http://schemas.openxmlformats.org/officeDocument/2006/relationships/hyperlink" Target="https://www.cor.net/home/showdocument?id=27357" TargetMode="External"/><Relationship Id="rId98" Type="http://schemas.openxmlformats.org/officeDocument/2006/relationships/hyperlink" Target="https://www.cor.net/home/showdocument?id=28532" TargetMode="External"/><Relationship Id="rId121" Type="http://schemas.openxmlformats.org/officeDocument/2006/relationships/hyperlink" Target="https://www.cor.net/home/showdocument?id=28696" TargetMode="External"/><Relationship Id="rId142" Type="http://schemas.openxmlformats.org/officeDocument/2006/relationships/hyperlink" Target="https://www.cor.net/home/showdocument?id=28880" TargetMode="External"/><Relationship Id="rId163" Type="http://schemas.openxmlformats.org/officeDocument/2006/relationships/hyperlink" Target="https://www.cor.net/home/showdocument?id=29112" TargetMode="External"/><Relationship Id="rId184" Type="http://schemas.openxmlformats.org/officeDocument/2006/relationships/hyperlink" Target="https://www.cor.net/home/showdocument?id=29291" TargetMode="External"/><Relationship Id="rId219" Type="http://schemas.openxmlformats.org/officeDocument/2006/relationships/hyperlink" Target="https://www.cor.net/home/showdocument?id=29611" TargetMode="External"/><Relationship Id="rId230" Type="http://schemas.openxmlformats.org/officeDocument/2006/relationships/hyperlink" Target="https://www.cor.net/home/showdocument?id=29852" TargetMode="External"/><Relationship Id="rId251" Type="http://schemas.openxmlformats.org/officeDocument/2006/relationships/hyperlink" Target="https://www.cor.net/home/showpublisheddocument?id=27563" TargetMode="External"/><Relationship Id="rId25" Type="http://schemas.openxmlformats.org/officeDocument/2006/relationships/hyperlink" Target="https://www.cor.net/home/showdocument?id=27395" TargetMode="External"/><Relationship Id="rId46" Type="http://schemas.openxmlformats.org/officeDocument/2006/relationships/hyperlink" Target="https://www.cor.net/home/showdocument?id=27705" TargetMode="External"/><Relationship Id="rId67" Type="http://schemas.openxmlformats.org/officeDocument/2006/relationships/hyperlink" Target="https://www.cor.net/home/showdocument?id=28239" TargetMode="External"/><Relationship Id="rId88" Type="http://schemas.openxmlformats.org/officeDocument/2006/relationships/hyperlink" Target="https://www.cor.net/home/showdocument?id=28514" TargetMode="External"/><Relationship Id="rId111" Type="http://schemas.openxmlformats.org/officeDocument/2006/relationships/hyperlink" Target="https://www.cor.net/home/showdocument?id=28676" TargetMode="External"/><Relationship Id="rId132" Type="http://schemas.openxmlformats.org/officeDocument/2006/relationships/hyperlink" Target="https://www.cor.net/home/showdocument?id=28810" TargetMode="External"/><Relationship Id="rId153" Type="http://schemas.openxmlformats.org/officeDocument/2006/relationships/hyperlink" Target="https://www.cor.net/home/showdocument?id=29032" TargetMode="External"/><Relationship Id="rId174" Type="http://schemas.openxmlformats.org/officeDocument/2006/relationships/hyperlink" Target="https://www.cor.net/home/showdocument?id=29176" TargetMode="External"/><Relationship Id="rId195" Type="http://schemas.openxmlformats.org/officeDocument/2006/relationships/hyperlink" Target="https://www.cor.net/home/showdocument?id=29383" TargetMode="External"/><Relationship Id="rId209" Type="http://schemas.openxmlformats.org/officeDocument/2006/relationships/hyperlink" Target="https://www.cor.net/home/showdocument?id=29483" TargetMode="External"/><Relationship Id="rId220" Type="http://schemas.openxmlformats.org/officeDocument/2006/relationships/hyperlink" Target="https://www.cor.net/home/showdocument?id=29693" TargetMode="External"/><Relationship Id="rId241" Type="http://schemas.openxmlformats.org/officeDocument/2006/relationships/hyperlink" Target="https://www.cor.net/home/showpublisheddocument?id=29048" TargetMode="External"/><Relationship Id="rId15" Type="http://schemas.openxmlformats.org/officeDocument/2006/relationships/hyperlink" Target="https://www.cor.net/home/showdocument?id=27375" TargetMode="External"/><Relationship Id="rId36" Type="http://schemas.openxmlformats.org/officeDocument/2006/relationships/hyperlink" Target="https://www.cor.net/home/showdocument?id=27727" TargetMode="External"/><Relationship Id="rId57" Type="http://schemas.openxmlformats.org/officeDocument/2006/relationships/hyperlink" Target="https://www.cor.net/home/showdocument?id=28161" TargetMode="External"/><Relationship Id="rId78" Type="http://schemas.openxmlformats.org/officeDocument/2006/relationships/hyperlink" Target="https://www.cor.net/home/showdocument?id=28352" TargetMode="External"/><Relationship Id="rId99" Type="http://schemas.openxmlformats.org/officeDocument/2006/relationships/hyperlink" Target="https://www.cor.net/home/showdocument?id=28512" TargetMode="External"/><Relationship Id="rId101" Type="http://schemas.openxmlformats.org/officeDocument/2006/relationships/hyperlink" Target="https://www.cor.net/home/showdocument?id=28560" TargetMode="External"/><Relationship Id="rId122" Type="http://schemas.openxmlformats.org/officeDocument/2006/relationships/hyperlink" Target="https://www.cor.net/home/showdocument?id=28694" TargetMode="External"/><Relationship Id="rId143" Type="http://schemas.openxmlformats.org/officeDocument/2006/relationships/hyperlink" Target="https://www.cor.net/home/showdocument?id=28966" TargetMode="External"/><Relationship Id="rId164" Type="http://schemas.openxmlformats.org/officeDocument/2006/relationships/hyperlink" Target="https://www.cor.net/home/showdocument?id=29152" TargetMode="External"/><Relationship Id="rId185" Type="http://schemas.openxmlformats.org/officeDocument/2006/relationships/hyperlink" Target="https://www.cor.net/home/showdocument?id=29305" TargetMode="External"/><Relationship Id="rId9" Type="http://schemas.openxmlformats.org/officeDocument/2006/relationships/hyperlink" Target="https://www.cor.net/home/showdocument?id=27359" TargetMode="External"/><Relationship Id="rId210" Type="http://schemas.openxmlformats.org/officeDocument/2006/relationships/hyperlink" Target="https://www.cor.net/home/showdocument?id=29485" TargetMode="External"/><Relationship Id="rId26" Type="http://schemas.openxmlformats.org/officeDocument/2006/relationships/hyperlink" Target="https://www.cor.net/home/showdocument?id=27399" TargetMode="External"/><Relationship Id="rId231" Type="http://schemas.openxmlformats.org/officeDocument/2006/relationships/hyperlink" Target="https://www.cor.net/home/showdocument?id=29969" TargetMode="External"/><Relationship Id="rId252" Type="http://schemas.openxmlformats.org/officeDocument/2006/relationships/hyperlink" Target="https://www.cor.net/home/showpublisheddocument?id=27565" TargetMode="External"/><Relationship Id="rId47" Type="http://schemas.openxmlformats.org/officeDocument/2006/relationships/hyperlink" Target="https://www.cor.net/home/showdocument?id=27707" TargetMode="External"/><Relationship Id="rId68" Type="http://schemas.openxmlformats.org/officeDocument/2006/relationships/hyperlink" Target="https://www.cor.net/home/showdocument?id=28241" TargetMode="External"/><Relationship Id="rId89" Type="http://schemas.openxmlformats.org/officeDocument/2006/relationships/hyperlink" Target="https://www.cor.net/home/showdocument?id=28516" TargetMode="External"/><Relationship Id="rId112" Type="http://schemas.openxmlformats.org/officeDocument/2006/relationships/hyperlink" Target="https://www.cor.net/home/showdocument?id=28678" TargetMode="External"/><Relationship Id="rId133" Type="http://schemas.openxmlformats.org/officeDocument/2006/relationships/hyperlink" Target="https://www.cor.net/home/showdocument?id=28812" TargetMode="External"/><Relationship Id="rId154" Type="http://schemas.openxmlformats.org/officeDocument/2006/relationships/hyperlink" Target="https://www.cor.net/home/showdocument?id=29034" TargetMode="External"/><Relationship Id="rId175" Type="http://schemas.openxmlformats.org/officeDocument/2006/relationships/hyperlink" Target="https://www.cor.net/home/showdocument?id=29154" TargetMode="External"/><Relationship Id="rId196" Type="http://schemas.openxmlformats.org/officeDocument/2006/relationships/hyperlink" Target="https://www.cor.net/home/showdocument?id=29385" TargetMode="External"/><Relationship Id="rId200" Type="http://schemas.openxmlformats.org/officeDocument/2006/relationships/hyperlink" Target="https://www.cor.net/home/showdocument?id=29425" TargetMode="External"/><Relationship Id="rId16" Type="http://schemas.openxmlformats.org/officeDocument/2006/relationships/hyperlink" Target="https://www.cor.net/home/showdocument?id=27377" TargetMode="External"/><Relationship Id="rId221" Type="http://schemas.openxmlformats.org/officeDocument/2006/relationships/hyperlink" Target="https://www.cor.net/home/showdocument?id=29695" TargetMode="External"/><Relationship Id="rId242" Type="http://schemas.openxmlformats.org/officeDocument/2006/relationships/hyperlink" Target="https://www.cor.net/home/showpublisheddocument?id=28524" TargetMode="External"/><Relationship Id="rId37" Type="http://schemas.openxmlformats.org/officeDocument/2006/relationships/hyperlink" Target="https://www.cor.net/home/showdocument?id=27709" TargetMode="External"/><Relationship Id="rId58" Type="http://schemas.openxmlformats.org/officeDocument/2006/relationships/hyperlink" Target="https://www.cor.net/home/showdocument?id=28177" TargetMode="External"/><Relationship Id="rId79" Type="http://schemas.openxmlformats.org/officeDocument/2006/relationships/hyperlink" Target="https://www.cor.net/home/showdocument?id=28368" TargetMode="External"/><Relationship Id="rId102" Type="http://schemas.openxmlformats.org/officeDocument/2006/relationships/hyperlink" Target="https://www.cor.net/home/showdocument?id=28564" TargetMode="External"/><Relationship Id="rId123" Type="http://schemas.openxmlformats.org/officeDocument/2006/relationships/hyperlink" Target="https://www.cor.net/home/showdocument?id=28796" TargetMode="External"/><Relationship Id="rId144" Type="http://schemas.openxmlformats.org/officeDocument/2006/relationships/hyperlink" Target="https://www.cor.net/home/showdocument?id=28968" TargetMode="External"/><Relationship Id="rId90" Type="http://schemas.openxmlformats.org/officeDocument/2006/relationships/hyperlink" Target="https://www.cor.net/home/showdocument?id=28520" TargetMode="External"/><Relationship Id="rId165" Type="http://schemas.openxmlformats.org/officeDocument/2006/relationships/hyperlink" Target="https://www.cor.net/home/showdocument?id=29156" TargetMode="External"/><Relationship Id="rId186" Type="http://schemas.openxmlformats.org/officeDocument/2006/relationships/hyperlink" Target="https://www.cor.net/home/showdocument?id=29293" TargetMode="External"/><Relationship Id="rId211" Type="http://schemas.openxmlformats.org/officeDocument/2006/relationships/hyperlink" Target="https://www.cor.net/home/showdocument?id=29487" TargetMode="External"/><Relationship Id="rId232" Type="http://schemas.openxmlformats.org/officeDocument/2006/relationships/hyperlink" Target="https://www.cor.net/home/showdocument?id=30027" TargetMode="External"/><Relationship Id="rId253" Type="http://schemas.openxmlformats.org/officeDocument/2006/relationships/hyperlink" Target="https://www.cor.net/home/showpublisheddocument?id=27567" TargetMode="External"/><Relationship Id="rId27" Type="http://schemas.openxmlformats.org/officeDocument/2006/relationships/hyperlink" Target="https://www.cor.net/home/showdocument?id=27403" TargetMode="External"/><Relationship Id="rId48" Type="http://schemas.openxmlformats.org/officeDocument/2006/relationships/hyperlink" Target="https://www.cor.net/home/showdocument?id=27701" TargetMode="External"/><Relationship Id="rId69" Type="http://schemas.openxmlformats.org/officeDocument/2006/relationships/hyperlink" Target="https://www.cor.net/home/showdocument?id=28247" TargetMode="External"/><Relationship Id="rId113" Type="http://schemas.openxmlformats.org/officeDocument/2006/relationships/hyperlink" Target="https://www.cor.net/home/showdocument?id=28680" TargetMode="External"/><Relationship Id="rId134" Type="http://schemas.openxmlformats.org/officeDocument/2006/relationships/hyperlink" Target="https://www.cor.net/home/showdocument?id=28814" TargetMode="External"/><Relationship Id="rId80" Type="http://schemas.openxmlformats.org/officeDocument/2006/relationships/hyperlink" Target="https://www.cor.net/home/showdocument?id=28358" TargetMode="External"/><Relationship Id="rId155" Type="http://schemas.openxmlformats.org/officeDocument/2006/relationships/hyperlink" Target="https://www.cor.net/home/showdocument?id=29036" TargetMode="External"/><Relationship Id="rId176" Type="http://schemas.openxmlformats.org/officeDocument/2006/relationships/hyperlink" Target="https://www.cor.net/home/showdocument?id=29224" TargetMode="External"/><Relationship Id="rId197" Type="http://schemas.openxmlformats.org/officeDocument/2006/relationships/hyperlink" Target="https://www.cor.net/home/showdocument?id=29387" TargetMode="External"/><Relationship Id="rId201" Type="http://schemas.openxmlformats.org/officeDocument/2006/relationships/hyperlink" Target="https://www.cor.net/home/showdocument?id=29427" TargetMode="External"/><Relationship Id="rId222" Type="http://schemas.openxmlformats.org/officeDocument/2006/relationships/hyperlink" Target="https://www.cor.net/home/showdocument?id=29685" TargetMode="External"/><Relationship Id="rId243" Type="http://schemas.openxmlformats.org/officeDocument/2006/relationships/hyperlink" Target="https://www.cor.net/home/showpublisheddocument?id=28372" TargetMode="External"/><Relationship Id="rId17" Type="http://schemas.openxmlformats.org/officeDocument/2006/relationships/hyperlink" Target="https://www.cor.net/home/showdocument?id=27379" TargetMode="External"/><Relationship Id="rId38" Type="http://schemas.openxmlformats.org/officeDocument/2006/relationships/hyperlink" Target="https://www.cor.net/home/showdocument?id=27711" TargetMode="External"/><Relationship Id="rId59" Type="http://schemas.openxmlformats.org/officeDocument/2006/relationships/hyperlink" Target="https://www.cor.net/home/showdocument?id=28163" TargetMode="External"/><Relationship Id="rId103" Type="http://schemas.openxmlformats.org/officeDocument/2006/relationships/hyperlink" Target="https://www.cor.net/home/showdocument?id=28566" TargetMode="External"/><Relationship Id="rId124" Type="http://schemas.openxmlformats.org/officeDocument/2006/relationships/hyperlink" Target="https://www.cor.net/home/showdocument?id=28740" TargetMode="External"/><Relationship Id="rId70" Type="http://schemas.openxmlformats.org/officeDocument/2006/relationships/hyperlink" Target="https://www.cor.net/home/showdocument?id=28249" TargetMode="External"/><Relationship Id="rId91" Type="http://schemas.openxmlformats.org/officeDocument/2006/relationships/hyperlink" Target="https://www.cor.net/home/showdocument?id=28508" TargetMode="External"/><Relationship Id="rId145" Type="http://schemas.openxmlformats.org/officeDocument/2006/relationships/hyperlink" Target="https://www.cor.net/home/showdocument?id=28964" TargetMode="External"/><Relationship Id="rId166" Type="http://schemas.openxmlformats.org/officeDocument/2006/relationships/hyperlink" Target="https://www.cor.net/home/showdocument?id=29154" TargetMode="External"/><Relationship Id="rId187" Type="http://schemas.openxmlformats.org/officeDocument/2006/relationships/hyperlink" Target="https://www.cor.net/home/showdocument?id=29285" TargetMode="External"/><Relationship Id="rId1" Type="http://schemas.openxmlformats.org/officeDocument/2006/relationships/hyperlink" Target="https://www.cor.net/home/showdocument?id=26919" TargetMode="External"/><Relationship Id="rId212" Type="http://schemas.openxmlformats.org/officeDocument/2006/relationships/hyperlink" Target="https://www.cor.net/home/showdocument?id=29593" TargetMode="External"/><Relationship Id="rId233" Type="http://schemas.openxmlformats.org/officeDocument/2006/relationships/hyperlink" Target="https://www.cor.net/home/showpublisheddocument?id=29709" TargetMode="External"/><Relationship Id="rId254" Type="http://schemas.openxmlformats.org/officeDocument/2006/relationships/hyperlink" Target="https://www.cor.net/home/showpublisheddocument?id=27721" TargetMode="External"/><Relationship Id="rId28" Type="http://schemas.openxmlformats.org/officeDocument/2006/relationships/hyperlink" Target="https://www.cor.net/home/showdocument?id=27547" TargetMode="External"/><Relationship Id="rId49" Type="http://schemas.openxmlformats.org/officeDocument/2006/relationships/hyperlink" Target="https://www.cor.net/home/showdocument?id=27725" TargetMode="External"/><Relationship Id="rId114" Type="http://schemas.openxmlformats.org/officeDocument/2006/relationships/hyperlink" Target="https://www.cor.net/home/showdocument?id=28682" TargetMode="External"/><Relationship Id="rId60" Type="http://schemas.openxmlformats.org/officeDocument/2006/relationships/hyperlink" Target="https://www.cor.net/home/showdocument?id=28165" TargetMode="External"/><Relationship Id="rId81" Type="http://schemas.openxmlformats.org/officeDocument/2006/relationships/hyperlink" Target="https://www.cor.net/home/showdocument?id=28354" TargetMode="External"/><Relationship Id="rId135" Type="http://schemas.openxmlformats.org/officeDocument/2006/relationships/hyperlink" Target="https://www.cor.net/home/showdocument?id=28816" TargetMode="External"/><Relationship Id="rId156" Type="http://schemas.openxmlformats.org/officeDocument/2006/relationships/hyperlink" Target="https://www.cor.net/home/showdocument?id=29038" TargetMode="External"/><Relationship Id="rId177" Type="http://schemas.openxmlformats.org/officeDocument/2006/relationships/hyperlink" Target="https://www.cor.net/home/showdocument?id=29226" TargetMode="External"/><Relationship Id="rId198" Type="http://schemas.openxmlformats.org/officeDocument/2006/relationships/hyperlink" Target="https://www.cor.net/home/showdocument?id=29421" TargetMode="External"/><Relationship Id="rId202" Type="http://schemas.openxmlformats.org/officeDocument/2006/relationships/hyperlink" Target="https://www.cor.net/home/showdocument?id=29411" TargetMode="External"/><Relationship Id="rId223" Type="http://schemas.openxmlformats.org/officeDocument/2006/relationships/hyperlink" Target="https://www.cor.net/home/showdocument?id=29687" TargetMode="External"/><Relationship Id="rId244" Type="http://schemas.openxmlformats.org/officeDocument/2006/relationships/hyperlink" Target="https://www.cor.net/home/showpublisheddocument?id=28370" TargetMode="External"/><Relationship Id="rId18" Type="http://schemas.openxmlformats.org/officeDocument/2006/relationships/hyperlink" Target="https://www.cor.net/home/showdocument?id=27369" TargetMode="External"/><Relationship Id="rId39" Type="http://schemas.openxmlformats.org/officeDocument/2006/relationships/hyperlink" Target="https://www.cor.net/home/showdocument?id=27713" TargetMode="External"/><Relationship Id="rId50" Type="http://schemas.openxmlformats.org/officeDocument/2006/relationships/hyperlink" Target="https://www.cor.net/home/showdocument?id=28167" TargetMode="External"/><Relationship Id="rId104" Type="http://schemas.openxmlformats.org/officeDocument/2006/relationships/hyperlink" Target="https://www.cor.net/home/showdocument?id=28568" TargetMode="External"/><Relationship Id="rId125" Type="http://schemas.openxmlformats.org/officeDocument/2006/relationships/hyperlink" Target="https://www.cor.net/home/showdocument?id=28742" TargetMode="External"/><Relationship Id="rId146" Type="http://schemas.openxmlformats.org/officeDocument/2006/relationships/hyperlink" Target="https://www.cor.net/home/showdocument?id=28970" TargetMode="External"/><Relationship Id="rId167" Type="http://schemas.openxmlformats.org/officeDocument/2006/relationships/hyperlink" Target="https://www.cor.net/home/showdocument?id=29160" TargetMode="External"/><Relationship Id="rId188" Type="http://schemas.openxmlformats.org/officeDocument/2006/relationships/hyperlink" Target="https://www.cor.net/home/showdocument?id=29287" TargetMode="External"/><Relationship Id="rId71" Type="http://schemas.openxmlformats.org/officeDocument/2006/relationships/hyperlink" Target="https://www.cor.net/home/showdocument?id=28245" TargetMode="External"/><Relationship Id="rId92" Type="http://schemas.openxmlformats.org/officeDocument/2006/relationships/hyperlink" Target="https://www.cor.net/home/showdocument?id=28522" TargetMode="External"/><Relationship Id="rId213" Type="http://schemas.openxmlformats.org/officeDocument/2006/relationships/hyperlink" Target="https://www.cor.net/home/showdocument?id=29595" TargetMode="External"/><Relationship Id="rId234" Type="http://schemas.openxmlformats.org/officeDocument/2006/relationships/hyperlink" Target="https://www.cor.net/home/showpublisheddocument?id=29795" TargetMode="External"/><Relationship Id="rId2" Type="http://schemas.openxmlformats.org/officeDocument/2006/relationships/hyperlink" Target="https://www.cor.net/home/showdocument?id=26923" TargetMode="External"/><Relationship Id="rId29" Type="http://schemas.openxmlformats.org/officeDocument/2006/relationships/hyperlink" Target="https://www.cor.net/home/showdocument?id=27551" TargetMode="External"/><Relationship Id="rId255" Type="http://schemas.openxmlformats.org/officeDocument/2006/relationships/hyperlink" Target="https://www.cor.net/home/showpublisheddocument?id=27723" TargetMode="External"/><Relationship Id="rId40" Type="http://schemas.openxmlformats.org/officeDocument/2006/relationships/hyperlink" Target="https://www.cor.net/home/showdocument?id=27715" TargetMode="External"/><Relationship Id="rId115" Type="http://schemas.openxmlformats.org/officeDocument/2006/relationships/hyperlink" Target="https://www.cor.net/home/showdocument?id=28684" TargetMode="External"/><Relationship Id="rId136" Type="http://schemas.openxmlformats.org/officeDocument/2006/relationships/hyperlink" Target="https://www.cor.net/home/showdocument?id=28802" TargetMode="External"/><Relationship Id="rId157" Type="http://schemas.openxmlformats.org/officeDocument/2006/relationships/hyperlink" Target="https://www.cor.net/home/showdocument?id=29108" TargetMode="External"/><Relationship Id="rId178" Type="http://schemas.openxmlformats.org/officeDocument/2006/relationships/hyperlink" Target="https://www.cor.net/home/showdocument?id=29228" TargetMode="External"/><Relationship Id="rId61" Type="http://schemas.openxmlformats.org/officeDocument/2006/relationships/hyperlink" Target="https://www.cor.net/home/showdocument?id=28179" TargetMode="External"/><Relationship Id="rId82" Type="http://schemas.openxmlformats.org/officeDocument/2006/relationships/hyperlink" Target="https://www.cor.net/home/showdocument?id=28356" TargetMode="External"/><Relationship Id="rId199" Type="http://schemas.openxmlformats.org/officeDocument/2006/relationships/hyperlink" Target="https://www.cor.net/home/showdocument?id=29423" TargetMode="External"/><Relationship Id="rId203" Type="http://schemas.openxmlformats.org/officeDocument/2006/relationships/hyperlink" Target="https://www.cor.net/home/showdocument?id=29413" TargetMode="External"/><Relationship Id="rId19" Type="http://schemas.openxmlformats.org/officeDocument/2006/relationships/hyperlink" Target="https://www.cor.net/home/showdocument?id=27371" TargetMode="External"/><Relationship Id="rId224" Type="http://schemas.openxmlformats.org/officeDocument/2006/relationships/hyperlink" Target="https://www.cor.net/home/showdocument?id=29697" TargetMode="External"/><Relationship Id="rId245" Type="http://schemas.openxmlformats.org/officeDocument/2006/relationships/hyperlink" Target="https://www.cor.net/home/showpublisheddocument?id=28193" TargetMode="External"/><Relationship Id="rId30" Type="http://schemas.openxmlformats.org/officeDocument/2006/relationships/hyperlink" Target="https://www.cor.net/home/showdocument?id=27553" TargetMode="External"/><Relationship Id="rId105" Type="http://schemas.openxmlformats.org/officeDocument/2006/relationships/hyperlink" Target="https://www.cor.net/home/showdocument?id=28570" TargetMode="External"/><Relationship Id="rId126" Type="http://schemas.openxmlformats.org/officeDocument/2006/relationships/hyperlink" Target="https://www.cor.net/home/showdocument?id=28758" TargetMode="External"/><Relationship Id="rId147" Type="http://schemas.openxmlformats.org/officeDocument/2006/relationships/hyperlink" Target="https://www.cor.net/home/showdocument?id=28962" TargetMode="External"/><Relationship Id="rId168" Type="http://schemas.openxmlformats.org/officeDocument/2006/relationships/hyperlink" Target="https://www.cor.net/home/showdocument?id=29162" TargetMode="External"/><Relationship Id="rId51" Type="http://schemas.openxmlformats.org/officeDocument/2006/relationships/hyperlink" Target="https://www.cor.net/home/showdocument?id=28153" TargetMode="External"/><Relationship Id="rId72" Type="http://schemas.openxmlformats.org/officeDocument/2006/relationships/hyperlink" Target="https://www.cor.net/home/showdocument?id=28243" TargetMode="External"/><Relationship Id="rId93" Type="http://schemas.openxmlformats.org/officeDocument/2006/relationships/hyperlink" Target="https://www.cor.net/home/showdocument?id=28526" TargetMode="External"/><Relationship Id="rId189" Type="http://schemas.openxmlformats.org/officeDocument/2006/relationships/hyperlink" Target="https://www.cor.net/home/showdocument?id=29323" TargetMode="External"/><Relationship Id="rId3" Type="http://schemas.openxmlformats.org/officeDocument/2006/relationships/hyperlink" Target="https://www.cor.net/home/showdocument?id=26921" TargetMode="External"/><Relationship Id="rId214" Type="http://schemas.openxmlformats.org/officeDocument/2006/relationships/hyperlink" Target="https://www.cor.net/home/showdocument?id=29599" TargetMode="External"/><Relationship Id="rId235" Type="http://schemas.openxmlformats.org/officeDocument/2006/relationships/hyperlink" Target="https://www.cor.net/home/showpublisheddocument?id=29797" TargetMode="External"/><Relationship Id="rId256" Type="http://schemas.openxmlformats.org/officeDocument/2006/relationships/hyperlink" Target="https://www.cor.net/home/showpublisheddocument?id=29801" TargetMode="External"/><Relationship Id="rId116" Type="http://schemas.openxmlformats.org/officeDocument/2006/relationships/hyperlink" Target="https://www.cor.net/home/showdocument?id=28686" TargetMode="External"/><Relationship Id="rId137" Type="http://schemas.openxmlformats.org/officeDocument/2006/relationships/hyperlink" Target="https://www.cor.net/home/showdocument?id=28798" TargetMode="External"/><Relationship Id="rId158" Type="http://schemas.openxmlformats.org/officeDocument/2006/relationships/hyperlink" Target="https://www.cor.net/home/showdocument?id=29102" TargetMode="External"/><Relationship Id="rId20" Type="http://schemas.openxmlformats.org/officeDocument/2006/relationships/hyperlink" Target="https://www.cor.net/home/showdocument?id=27381" TargetMode="External"/><Relationship Id="rId41" Type="http://schemas.openxmlformats.org/officeDocument/2006/relationships/hyperlink" Target="https://www.cor.net/home/showdocument?id=27717" TargetMode="External"/><Relationship Id="rId62" Type="http://schemas.openxmlformats.org/officeDocument/2006/relationships/hyperlink" Target="https://www.cor.net/home/showdocument?id=28181" TargetMode="External"/><Relationship Id="rId83" Type="http://schemas.openxmlformats.org/officeDocument/2006/relationships/hyperlink" Target="https://www.cor.net/home/showdocument?id=28448" TargetMode="External"/><Relationship Id="rId179" Type="http://schemas.openxmlformats.org/officeDocument/2006/relationships/hyperlink" Target="https://www.cor.net/home/showdocument?id=29303" TargetMode="External"/><Relationship Id="rId190" Type="http://schemas.openxmlformats.org/officeDocument/2006/relationships/hyperlink" Target="https://www.cor.net/home/showdocument?id=29325" TargetMode="External"/><Relationship Id="rId204" Type="http://schemas.openxmlformats.org/officeDocument/2006/relationships/hyperlink" Target="https://www.cor.net/home/showdocument?id=29415" TargetMode="External"/><Relationship Id="rId225" Type="http://schemas.openxmlformats.org/officeDocument/2006/relationships/hyperlink" Target="https://www.cor.net/home/showdocument?id=29699" TargetMode="External"/><Relationship Id="rId246" Type="http://schemas.openxmlformats.org/officeDocument/2006/relationships/hyperlink" Target="https://www.cor.net/home/showpublisheddocument?id=28191" TargetMode="External"/><Relationship Id="rId106" Type="http://schemas.openxmlformats.org/officeDocument/2006/relationships/hyperlink" Target="https://www.cor.net/home/showdocument?id=28572" TargetMode="External"/><Relationship Id="rId127" Type="http://schemas.openxmlformats.org/officeDocument/2006/relationships/hyperlink" Target="https://www.cor.net/home/showdocument?id=28760" TargetMode="External"/><Relationship Id="rId10" Type="http://schemas.openxmlformats.org/officeDocument/2006/relationships/hyperlink" Target="https://www.cor.net/home/showdocument?id=27361" TargetMode="External"/><Relationship Id="rId31" Type="http://schemas.openxmlformats.org/officeDocument/2006/relationships/hyperlink" Target="https://www.cor.net/home/showdocument?id=27555" TargetMode="External"/><Relationship Id="rId52" Type="http://schemas.openxmlformats.org/officeDocument/2006/relationships/hyperlink" Target="https://www.cor.net/home/showdocument?id=28173" TargetMode="External"/><Relationship Id="rId73" Type="http://schemas.openxmlformats.org/officeDocument/2006/relationships/hyperlink" Target="https://www.cor.net/home/showdocument?id=28360" TargetMode="External"/><Relationship Id="rId94" Type="http://schemas.openxmlformats.org/officeDocument/2006/relationships/hyperlink" Target="https://www.cor.net/home/showdocument?id=28528" TargetMode="External"/><Relationship Id="rId148" Type="http://schemas.openxmlformats.org/officeDocument/2006/relationships/hyperlink" Target="https://www.cor.net/home/showdocument?id=28960" TargetMode="External"/><Relationship Id="rId169" Type="http://schemas.openxmlformats.org/officeDocument/2006/relationships/hyperlink" Target="https://www.cor.net/home/showdocument?id=29164" TargetMode="External"/><Relationship Id="rId4" Type="http://schemas.openxmlformats.org/officeDocument/2006/relationships/hyperlink" Target="https://www.cor.net/home/showdocument?id=27121" TargetMode="External"/><Relationship Id="rId180" Type="http://schemas.openxmlformats.org/officeDocument/2006/relationships/hyperlink" Target="https://www.cor.net/home/showdocument?id=29289" TargetMode="External"/><Relationship Id="rId215" Type="http://schemas.openxmlformats.org/officeDocument/2006/relationships/hyperlink" Target="https://www.cor.net/home/showdocument?id=29601" TargetMode="External"/><Relationship Id="rId236" Type="http://schemas.openxmlformats.org/officeDocument/2006/relationships/hyperlink" Target="https://www.cor.net/home/showpublisheddocument?id=29799" TargetMode="External"/><Relationship Id="rId257" Type="http://schemas.openxmlformats.org/officeDocument/2006/relationships/hyperlink" Target="https://www.cor.net/home/showdocument?id=31307"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cor.net/home/showdocument?id=26037" TargetMode="External"/><Relationship Id="rId21" Type="http://schemas.openxmlformats.org/officeDocument/2006/relationships/hyperlink" Target="https://www.cor.net/home/showdocument?id=24809" TargetMode="External"/><Relationship Id="rId42" Type="http://schemas.openxmlformats.org/officeDocument/2006/relationships/hyperlink" Target="https://www.cor.net/home/showdocument?id=25071" TargetMode="External"/><Relationship Id="rId63" Type="http://schemas.openxmlformats.org/officeDocument/2006/relationships/hyperlink" Target="https://www.cor.net/home/showdocument?id=25326" TargetMode="External"/><Relationship Id="rId84" Type="http://schemas.openxmlformats.org/officeDocument/2006/relationships/hyperlink" Target="https://www.cor.net/home/showdocument?id=25524" TargetMode="External"/><Relationship Id="rId138" Type="http://schemas.openxmlformats.org/officeDocument/2006/relationships/hyperlink" Target="https://www.cor.net/home/showdocument?id=26293" TargetMode="External"/><Relationship Id="rId159" Type="http://schemas.openxmlformats.org/officeDocument/2006/relationships/hyperlink" Target="https://www.cor.net/home/showdocument?id=26501" TargetMode="External"/><Relationship Id="rId170" Type="http://schemas.openxmlformats.org/officeDocument/2006/relationships/hyperlink" Target="https://www.cor.net/home/showdocument?id=26619" TargetMode="External"/><Relationship Id="rId191" Type="http://schemas.openxmlformats.org/officeDocument/2006/relationships/hyperlink" Target="https://www.cor.net/home/showdocument?id=26713" TargetMode="External"/><Relationship Id="rId205" Type="http://schemas.openxmlformats.org/officeDocument/2006/relationships/hyperlink" Target="https://www.cor.net/home/showdocument?id=26927" TargetMode="External"/><Relationship Id="rId107" Type="http://schemas.openxmlformats.org/officeDocument/2006/relationships/hyperlink" Target="https://www.cor.net/home/showdocument?id=25877" TargetMode="External"/><Relationship Id="rId11" Type="http://schemas.openxmlformats.org/officeDocument/2006/relationships/hyperlink" Target="https://www.cor.net/home/showdocument?id=24815" TargetMode="External"/><Relationship Id="rId32" Type="http://schemas.openxmlformats.org/officeDocument/2006/relationships/hyperlink" Target="https://www.cor.net/home/showdocument?id=24989" TargetMode="External"/><Relationship Id="rId53" Type="http://schemas.openxmlformats.org/officeDocument/2006/relationships/hyperlink" Target="https://www.cor.net/home/showdocument?id=25163" TargetMode="External"/><Relationship Id="rId74" Type="http://schemas.openxmlformats.org/officeDocument/2006/relationships/hyperlink" Target="https://www.cor.net/home/showdocument?id=25336" TargetMode="External"/><Relationship Id="rId128" Type="http://schemas.openxmlformats.org/officeDocument/2006/relationships/hyperlink" Target="https://www.cor.net/home/showdocument?id=26191" TargetMode="External"/><Relationship Id="rId149" Type="http://schemas.openxmlformats.org/officeDocument/2006/relationships/hyperlink" Target="https://www.cor.net/home/showdocument?id=26363" TargetMode="External"/><Relationship Id="rId5" Type="http://schemas.openxmlformats.org/officeDocument/2006/relationships/hyperlink" Target="https://www.cor.net/home/showdocument?id=24737" TargetMode="External"/><Relationship Id="rId95" Type="http://schemas.openxmlformats.org/officeDocument/2006/relationships/hyperlink" Target="https://www.cor.net/home/showdocument?id=25635" TargetMode="External"/><Relationship Id="rId160" Type="http://schemas.openxmlformats.org/officeDocument/2006/relationships/hyperlink" Target="https://www.cor.net/home/showdocument?id=26499" TargetMode="External"/><Relationship Id="rId181" Type="http://schemas.openxmlformats.org/officeDocument/2006/relationships/hyperlink" Target="https://www.cor.net/home/showdocument?id=26605" TargetMode="External"/><Relationship Id="rId216" Type="http://schemas.openxmlformats.org/officeDocument/2006/relationships/hyperlink" Target="https://www.cor.net/home/showdocument?id=27119" TargetMode="External"/><Relationship Id="rId22" Type="http://schemas.openxmlformats.org/officeDocument/2006/relationships/hyperlink" Target="https://www.cor.net/home/showdocument?id=24811" TargetMode="External"/><Relationship Id="rId43" Type="http://schemas.openxmlformats.org/officeDocument/2006/relationships/hyperlink" Target="https://www.cor.net/home/showdocument?id=25069" TargetMode="External"/><Relationship Id="rId64" Type="http://schemas.openxmlformats.org/officeDocument/2006/relationships/hyperlink" Target="https://www.cor.net/home/showdocument?id=25324" TargetMode="External"/><Relationship Id="rId118" Type="http://schemas.openxmlformats.org/officeDocument/2006/relationships/hyperlink" Target="https://www.cor.net/home/showdocument?id=26041" TargetMode="External"/><Relationship Id="rId139" Type="http://schemas.openxmlformats.org/officeDocument/2006/relationships/hyperlink" Target="https://www.cor.net/home/showdocument?id=26299" TargetMode="External"/><Relationship Id="rId85" Type="http://schemas.openxmlformats.org/officeDocument/2006/relationships/hyperlink" Target="https://www.cor.net/home/showdocument?id=25524" TargetMode="External"/><Relationship Id="rId150" Type="http://schemas.openxmlformats.org/officeDocument/2006/relationships/hyperlink" Target="https://www.cor.net/home/showdocument?id=26369" TargetMode="External"/><Relationship Id="rId171" Type="http://schemas.openxmlformats.org/officeDocument/2006/relationships/hyperlink" Target="https://www.cor.net/home/showdocument?id=26621" TargetMode="External"/><Relationship Id="rId192" Type="http://schemas.openxmlformats.org/officeDocument/2006/relationships/hyperlink" Target="https://www.cor.net/home/showdocument?id=26715" TargetMode="External"/><Relationship Id="rId206" Type="http://schemas.openxmlformats.org/officeDocument/2006/relationships/hyperlink" Target="https://www.cor.net/home/showdocument?id=26917" TargetMode="External"/><Relationship Id="rId12" Type="http://schemas.openxmlformats.org/officeDocument/2006/relationships/hyperlink" Target="https://www.cor.net/home/showdocument?id=24817" TargetMode="External"/><Relationship Id="rId33" Type="http://schemas.openxmlformats.org/officeDocument/2006/relationships/hyperlink" Target="https://www.cor.net/home/showdocument?id=24991" TargetMode="External"/><Relationship Id="rId108" Type="http://schemas.openxmlformats.org/officeDocument/2006/relationships/hyperlink" Target="https://www.cor.net/home/showdocument?id=25879" TargetMode="External"/><Relationship Id="rId129" Type="http://schemas.openxmlformats.org/officeDocument/2006/relationships/hyperlink" Target="https://www.cor.net/home/showdocument?id=26195" TargetMode="External"/><Relationship Id="rId54" Type="http://schemas.openxmlformats.org/officeDocument/2006/relationships/hyperlink" Target="https://www.cor.net/home/showdocument?id=25165" TargetMode="External"/><Relationship Id="rId75" Type="http://schemas.openxmlformats.org/officeDocument/2006/relationships/hyperlink" Target="https://www.cor.net/home/showdocument?id=25334" TargetMode="External"/><Relationship Id="rId96" Type="http://schemas.openxmlformats.org/officeDocument/2006/relationships/hyperlink" Target="https://www.cor.net/home/showdocument?id=25637" TargetMode="External"/><Relationship Id="rId140" Type="http://schemas.openxmlformats.org/officeDocument/2006/relationships/hyperlink" Target="https://www.cor.net/home/showdocument?id=26287" TargetMode="External"/><Relationship Id="rId161" Type="http://schemas.openxmlformats.org/officeDocument/2006/relationships/hyperlink" Target="https://www.cor.net/home/showdocument?id=26491" TargetMode="External"/><Relationship Id="rId182" Type="http://schemas.openxmlformats.org/officeDocument/2006/relationships/hyperlink" Target="https://www.cor.net/home/showdocument?id=26607" TargetMode="External"/><Relationship Id="rId217" Type="http://schemas.openxmlformats.org/officeDocument/2006/relationships/hyperlink" Target="https://www.cor.net/home/showdocument?id=27349" TargetMode="External"/><Relationship Id="rId6" Type="http://schemas.openxmlformats.org/officeDocument/2006/relationships/hyperlink" Target="https://www.cor.net/home/showdocument?id=24739" TargetMode="External"/><Relationship Id="rId23" Type="http://schemas.openxmlformats.org/officeDocument/2006/relationships/hyperlink" Target="https://www.cor.net/home/showdocument?id=24813" TargetMode="External"/><Relationship Id="rId119" Type="http://schemas.openxmlformats.org/officeDocument/2006/relationships/hyperlink" Target="https://www.cor.net/home/showdocument?id=26043" TargetMode="External"/><Relationship Id="rId44" Type="http://schemas.openxmlformats.org/officeDocument/2006/relationships/hyperlink" Target="https://www.cor.net/home/showdocument?id=25073" TargetMode="External"/><Relationship Id="rId65" Type="http://schemas.openxmlformats.org/officeDocument/2006/relationships/hyperlink" Target="https://www.cor.net/home/showdocument?id=25318" TargetMode="External"/><Relationship Id="rId86" Type="http://schemas.openxmlformats.org/officeDocument/2006/relationships/hyperlink" Target="https://www.cor.net/home/showdocument?id=25526" TargetMode="External"/><Relationship Id="rId130" Type="http://schemas.openxmlformats.org/officeDocument/2006/relationships/hyperlink" Target="https://www.cor.net/home/showdocument?id=26197" TargetMode="External"/><Relationship Id="rId151" Type="http://schemas.openxmlformats.org/officeDocument/2006/relationships/hyperlink" Target="https://www.cor.net/home/showdocument?id=26361" TargetMode="External"/><Relationship Id="rId172" Type="http://schemas.openxmlformats.org/officeDocument/2006/relationships/hyperlink" Target="https://www.cor.net/home/showdocument?id=26623" TargetMode="External"/><Relationship Id="rId193" Type="http://schemas.openxmlformats.org/officeDocument/2006/relationships/hyperlink" Target="https://www.cor.net/home/showdocument?id=26737" TargetMode="External"/><Relationship Id="rId207" Type="http://schemas.openxmlformats.org/officeDocument/2006/relationships/hyperlink" Target="https://www.cor.net/home/showdocument?id=26979" TargetMode="External"/><Relationship Id="rId13" Type="http://schemas.openxmlformats.org/officeDocument/2006/relationships/hyperlink" Target="https://www.cor.net/home/showdocument?id=24819" TargetMode="External"/><Relationship Id="rId109" Type="http://schemas.openxmlformats.org/officeDocument/2006/relationships/hyperlink" Target="https://www.cor.net/home/showdocument?id=25881" TargetMode="External"/><Relationship Id="rId34" Type="http://schemas.openxmlformats.org/officeDocument/2006/relationships/hyperlink" Target="https://www.cor.net/home/showdocument?id=24993" TargetMode="External"/><Relationship Id="rId55" Type="http://schemas.openxmlformats.org/officeDocument/2006/relationships/hyperlink" Target="https://www.cor.net/home/showdocument?id=25167" TargetMode="External"/><Relationship Id="rId76" Type="http://schemas.openxmlformats.org/officeDocument/2006/relationships/hyperlink" Target="https://www.cor.net/home/showdocument?id=25360" TargetMode="External"/><Relationship Id="rId97" Type="http://schemas.openxmlformats.org/officeDocument/2006/relationships/hyperlink" Target="https://www.cor.net/home/showdocument?id=25631" TargetMode="External"/><Relationship Id="rId120" Type="http://schemas.openxmlformats.org/officeDocument/2006/relationships/hyperlink" Target="https://www.cor.net/home/showdocument?id=26045" TargetMode="External"/><Relationship Id="rId141" Type="http://schemas.openxmlformats.org/officeDocument/2006/relationships/hyperlink" Target="https://www.cor.net/home/showdocument?id=26289" TargetMode="External"/><Relationship Id="rId7" Type="http://schemas.openxmlformats.org/officeDocument/2006/relationships/hyperlink" Target="https://www.cor.net/home/showdocument?id=24715" TargetMode="External"/><Relationship Id="rId162" Type="http://schemas.openxmlformats.org/officeDocument/2006/relationships/hyperlink" Target="https://www.cor.net/home/showdocument?id=26495" TargetMode="External"/><Relationship Id="rId183" Type="http://schemas.openxmlformats.org/officeDocument/2006/relationships/hyperlink" Target="https://www.cor.net/home/showdocument?id=26633" TargetMode="External"/><Relationship Id="rId218" Type="http://schemas.openxmlformats.org/officeDocument/2006/relationships/hyperlink" Target="https://www.cor.net/home/showdocument?id=27545" TargetMode="External"/><Relationship Id="rId24" Type="http://schemas.openxmlformats.org/officeDocument/2006/relationships/hyperlink" Target="https://www.cor.net/home/showdocument?id=24843" TargetMode="External"/><Relationship Id="rId45" Type="http://schemas.openxmlformats.org/officeDocument/2006/relationships/hyperlink" Target="https://www.cor.net/home/showdocument?id=25153" TargetMode="External"/><Relationship Id="rId66" Type="http://schemas.openxmlformats.org/officeDocument/2006/relationships/hyperlink" Target="https://www.cor.net/home/showdocument?id=25344" TargetMode="External"/><Relationship Id="rId87" Type="http://schemas.openxmlformats.org/officeDocument/2006/relationships/hyperlink" Target="https://www.cor.net/home/showdocument?id=25528" TargetMode="External"/><Relationship Id="rId110" Type="http://schemas.openxmlformats.org/officeDocument/2006/relationships/hyperlink" Target="https://www.cor.net/home/showdocument?id=25921" TargetMode="External"/><Relationship Id="rId131" Type="http://schemas.openxmlformats.org/officeDocument/2006/relationships/hyperlink" Target="https://www.cor.net/home/showdocument?id=26189" TargetMode="External"/><Relationship Id="rId152" Type="http://schemas.openxmlformats.org/officeDocument/2006/relationships/hyperlink" Target="https://www.cor.net/home/showdocument?id=26365" TargetMode="External"/><Relationship Id="rId173" Type="http://schemas.openxmlformats.org/officeDocument/2006/relationships/hyperlink" Target="https://www.cor.net/home/showdocument?id=26625" TargetMode="External"/><Relationship Id="rId194" Type="http://schemas.openxmlformats.org/officeDocument/2006/relationships/hyperlink" Target="https://www.cor.net/home/showdocument?id=26735" TargetMode="External"/><Relationship Id="rId208" Type="http://schemas.openxmlformats.org/officeDocument/2006/relationships/hyperlink" Target="https://www.cor.net/home/showdocument?id=26981" TargetMode="External"/><Relationship Id="rId14" Type="http://schemas.openxmlformats.org/officeDocument/2006/relationships/hyperlink" Target="https://www.cor.net/home/showdocument?id=24821" TargetMode="External"/><Relationship Id="rId30" Type="http://schemas.openxmlformats.org/officeDocument/2006/relationships/hyperlink" Target="https://www.cor.net/home/showdocument?id=24981" TargetMode="External"/><Relationship Id="rId35" Type="http://schemas.openxmlformats.org/officeDocument/2006/relationships/hyperlink" Target="https://www.cor.net/home/showdocument?id=24995" TargetMode="External"/><Relationship Id="rId56" Type="http://schemas.openxmlformats.org/officeDocument/2006/relationships/hyperlink" Target="https://www.cor.net/home/showdocument?id=25274" TargetMode="External"/><Relationship Id="rId77" Type="http://schemas.openxmlformats.org/officeDocument/2006/relationships/hyperlink" Target="https://www.cor.net/home/showdocument?id=25416" TargetMode="External"/><Relationship Id="rId100" Type="http://schemas.openxmlformats.org/officeDocument/2006/relationships/hyperlink" Target="https://www.cor.net/home/showdocument?id=25639" TargetMode="External"/><Relationship Id="rId105" Type="http://schemas.openxmlformats.org/officeDocument/2006/relationships/hyperlink" Target="https://www.cor.net/home/showdocument?id=25873" TargetMode="External"/><Relationship Id="rId126" Type="http://schemas.openxmlformats.org/officeDocument/2006/relationships/hyperlink" Target="https://www.cor.net/home/showdocument?id=26119" TargetMode="External"/><Relationship Id="rId147" Type="http://schemas.openxmlformats.org/officeDocument/2006/relationships/hyperlink" Target="https://www.cor.net/home/showdocument?id=26357" TargetMode="External"/><Relationship Id="rId168" Type="http://schemas.openxmlformats.org/officeDocument/2006/relationships/hyperlink" Target="https://www.cor.net/home/showdocument?id=26615" TargetMode="External"/><Relationship Id="rId8" Type="http://schemas.openxmlformats.org/officeDocument/2006/relationships/hyperlink" Target="https://www.cor.net/home/showdocument?id=24719" TargetMode="External"/><Relationship Id="rId51" Type="http://schemas.openxmlformats.org/officeDocument/2006/relationships/hyperlink" Target="https://www.cor.net/home/showdocument?id=25159" TargetMode="External"/><Relationship Id="rId72" Type="http://schemas.openxmlformats.org/officeDocument/2006/relationships/hyperlink" Target="https://www.cor.net/home/showdocument?id=25330" TargetMode="External"/><Relationship Id="rId93" Type="http://schemas.openxmlformats.org/officeDocument/2006/relationships/hyperlink" Target="https://www.cor.net/home/showdocument?id=25629" TargetMode="External"/><Relationship Id="rId98" Type="http://schemas.openxmlformats.org/officeDocument/2006/relationships/hyperlink" Target="https://www.cor.net/home/showdocument?id=25633" TargetMode="External"/><Relationship Id="rId121" Type="http://schemas.openxmlformats.org/officeDocument/2006/relationships/hyperlink" Target="https://www.cor.net/home/showdocument?id=26047" TargetMode="External"/><Relationship Id="rId142" Type="http://schemas.openxmlformats.org/officeDocument/2006/relationships/hyperlink" Target="https://www.cor.net/home/showdocument?id=26295" TargetMode="External"/><Relationship Id="rId163" Type="http://schemas.openxmlformats.org/officeDocument/2006/relationships/hyperlink" Target="https://www.cor.net/home/showdocument?id=26497" TargetMode="External"/><Relationship Id="rId184" Type="http://schemas.openxmlformats.org/officeDocument/2006/relationships/hyperlink" Target="https://www.cor.net/home/showdocument?id=26647" TargetMode="External"/><Relationship Id="rId189" Type="http://schemas.openxmlformats.org/officeDocument/2006/relationships/hyperlink" Target="https://www.cor.net/home/showdocument?id=26707" TargetMode="External"/><Relationship Id="rId219" Type="http://schemas.openxmlformats.org/officeDocument/2006/relationships/hyperlink" Target="https://www.cor.net/home/showdocument?id=28195" TargetMode="External"/><Relationship Id="rId3" Type="http://schemas.openxmlformats.org/officeDocument/2006/relationships/hyperlink" Target="https://www.cor.net/home/showdocument?id=24733" TargetMode="External"/><Relationship Id="rId214" Type="http://schemas.openxmlformats.org/officeDocument/2006/relationships/hyperlink" Target="https://www.cor.net/home/showdocument?id=27113" TargetMode="External"/><Relationship Id="rId25" Type="http://schemas.openxmlformats.org/officeDocument/2006/relationships/hyperlink" Target="https://www.cor.net/home/showdocument?id=24845" TargetMode="External"/><Relationship Id="rId46" Type="http://schemas.openxmlformats.org/officeDocument/2006/relationships/hyperlink" Target="https://www.cor.net/home/showdocument?id=25169" TargetMode="External"/><Relationship Id="rId67" Type="http://schemas.openxmlformats.org/officeDocument/2006/relationships/hyperlink" Target="https://www.cor.net/home/showdocument?id=25342" TargetMode="External"/><Relationship Id="rId116" Type="http://schemas.openxmlformats.org/officeDocument/2006/relationships/hyperlink" Target="https://www.cor.net/home/showdocument?id=26039" TargetMode="External"/><Relationship Id="rId137" Type="http://schemas.openxmlformats.org/officeDocument/2006/relationships/hyperlink" Target="https://www.cor.net/home/showdocument?id=26285" TargetMode="External"/><Relationship Id="rId158" Type="http://schemas.openxmlformats.org/officeDocument/2006/relationships/hyperlink" Target="https://www.cor.net/home/showdocument?id=26493" TargetMode="External"/><Relationship Id="rId20" Type="http://schemas.openxmlformats.org/officeDocument/2006/relationships/hyperlink" Target="https://www.cor.net/home/showdocument?id=24833" TargetMode="External"/><Relationship Id="rId41" Type="http://schemas.openxmlformats.org/officeDocument/2006/relationships/hyperlink" Target="https://www.cor.net/home/showdocument?id=24809" TargetMode="External"/><Relationship Id="rId62" Type="http://schemas.openxmlformats.org/officeDocument/2006/relationships/hyperlink" Target="https://www.cor.net/home/showdocument?id=25346" TargetMode="External"/><Relationship Id="rId83" Type="http://schemas.openxmlformats.org/officeDocument/2006/relationships/hyperlink" Target="https://www.cor.net/home/showdocument?id=25520" TargetMode="External"/><Relationship Id="rId88" Type="http://schemas.openxmlformats.org/officeDocument/2006/relationships/hyperlink" Target="https://www.cor.net/home/showdocument?id=25530" TargetMode="External"/><Relationship Id="rId111" Type="http://schemas.openxmlformats.org/officeDocument/2006/relationships/hyperlink" Target="https://www.cor.net/home/showdocument?id=25923" TargetMode="External"/><Relationship Id="rId132" Type="http://schemas.openxmlformats.org/officeDocument/2006/relationships/hyperlink" Target="https://www.cor.net/home/showdocument?id=26187" TargetMode="External"/><Relationship Id="rId153" Type="http://schemas.openxmlformats.org/officeDocument/2006/relationships/hyperlink" Target="https://www.cor.net/home/showdocument?id=26429" TargetMode="External"/><Relationship Id="rId174" Type="http://schemas.openxmlformats.org/officeDocument/2006/relationships/hyperlink" Target="https://www.cor.net/home/showdocument?id=26627" TargetMode="External"/><Relationship Id="rId179" Type="http://schemas.openxmlformats.org/officeDocument/2006/relationships/hyperlink" Target="https://www.cor.net/home/showdocument?id=26601" TargetMode="External"/><Relationship Id="rId195" Type="http://schemas.openxmlformats.org/officeDocument/2006/relationships/hyperlink" Target="https://www.cor.net/home/showdocument?id=26785" TargetMode="External"/><Relationship Id="rId209" Type="http://schemas.openxmlformats.org/officeDocument/2006/relationships/hyperlink" Target="https://www.cor.net/home/showdocument?id=26983" TargetMode="External"/><Relationship Id="rId190" Type="http://schemas.openxmlformats.org/officeDocument/2006/relationships/hyperlink" Target="https://www.cor.net/home/showdocument?id=26711" TargetMode="External"/><Relationship Id="rId204" Type="http://schemas.openxmlformats.org/officeDocument/2006/relationships/hyperlink" Target="https://www.cor.net/home/showdocument?id=26925" TargetMode="External"/><Relationship Id="rId15" Type="http://schemas.openxmlformats.org/officeDocument/2006/relationships/hyperlink" Target="https://www.cor.net/home/showdocument?id=24823" TargetMode="External"/><Relationship Id="rId36" Type="http://schemas.openxmlformats.org/officeDocument/2006/relationships/hyperlink" Target="https://www.cor.net/home/showdocument?id=24983" TargetMode="External"/><Relationship Id="rId57" Type="http://schemas.openxmlformats.org/officeDocument/2006/relationships/hyperlink" Target="https://www.cor.net/home/showdocument?id=25264" TargetMode="External"/><Relationship Id="rId106" Type="http://schemas.openxmlformats.org/officeDocument/2006/relationships/hyperlink" Target="https://www.cor.net/home/showdocument?id=25875" TargetMode="External"/><Relationship Id="rId127" Type="http://schemas.openxmlformats.org/officeDocument/2006/relationships/hyperlink" Target="https://www.cor.net/home/showdocument?id=26193" TargetMode="External"/><Relationship Id="rId10" Type="http://schemas.openxmlformats.org/officeDocument/2006/relationships/hyperlink" Target="https://www.cor.net/home/showdocument?id=24785" TargetMode="External"/><Relationship Id="rId31" Type="http://schemas.openxmlformats.org/officeDocument/2006/relationships/hyperlink" Target="https://www.cor.net/home/showdocument?id=24987" TargetMode="External"/><Relationship Id="rId52" Type="http://schemas.openxmlformats.org/officeDocument/2006/relationships/hyperlink" Target="https://www.cor.net/home/showdocument?id=25161" TargetMode="External"/><Relationship Id="rId73" Type="http://schemas.openxmlformats.org/officeDocument/2006/relationships/hyperlink" Target="https://www.cor.net/home/showdocument?id=25338" TargetMode="External"/><Relationship Id="rId78" Type="http://schemas.openxmlformats.org/officeDocument/2006/relationships/hyperlink" Target="https://www.cor.net/home/showdocument?id=25414" TargetMode="External"/><Relationship Id="rId94" Type="http://schemas.openxmlformats.org/officeDocument/2006/relationships/hyperlink" Target="https://www.cor.net/home/showdocument?id=25627" TargetMode="External"/><Relationship Id="rId99" Type="http://schemas.openxmlformats.org/officeDocument/2006/relationships/hyperlink" Target="https://www.cor.net/home/showdocument?id=25645" TargetMode="External"/><Relationship Id="rId101" Type="http://schemas.openxmlformats.org/officeDocument/2006/relationships/hyperlink" Target="https://www.cor.net/home/showdocument?id=25641" TargetMode="External"/><Relationship Id="rId122" Type="http://schemas.openxmlformats.org/officeDocument/2006/relationships/hyperlink" Target="https://www.cor.net/home/showdocument?id=26049" TargetMode="External"/><Relationship Id="rId143" Type="http://schemas.openxmlformats.org/officeDocument/2006/relationships/hyperlink" Target="https://www.cor.net/home/showdocument?id=26297" TargetMode="External"/><Relationship Id="rId148" Type="http://schemas.openxmlformats.org/officeDocument/2006/relationships/hyperlink" Target="https://www.cor.net/home/showdocument?id=26359" TargetMode="External"/><Relationship Id="rId164" Type="http://schemas.openxmlformats.org/officeDocument/2006/relationships/hyperlink" Target="https://www.cor.net/home/showdocument?id=26553" TargetMode="External"/><Relationship Id="rId169" Type="http://schemas.openxmlformats.org/officeDocument/2006/relationships/hyperlink" Target="https://www.cor.net/home/showdocument?id=26617" TargetMode="External"/><Relationship Id="rId185" Type="http://schemas.openxmlformats.org/officeDocument/2006/relationships/hyperlink" Target="https://www.cor.net/home/showdocument?id=26649" TargetMode="External"/><Relationship Id="rId4" Type="http://schemas.openxmlformats.org/officeDocument/2006/relationships/hyperlink" Target="https://www.cor.net/home/showdocument?id=24735" TargetMode="External"/><Relationship Id="rId9" Type="http://schemas.openxmlformats.org/officeDocument/2006/relationships/hyperlink" Target="https://www.cor.net/home/showdocument?id=24717" TargetMode="External"/><Relationship Id="rId180" Type="http://schemas.openxmlformats.org/officeDocument/2006/relationships/hyperlink" Target="https://www.cor.net/home/showdocument?id=26603" TargetMode="External"/><Relationship Id="rId210" Type="http://schemas.openxmlformats.org/officeDocument/2006/relationships/hyperlink" Target="https://www.cor.net/home/showdocument?id=26985" TargetMode="External"/><Relationship Id="rId215" Type="http://schemas.openxmlformats.org/officeDocument/2006/relationships/hyperlink" Target="https://www.cor.net/home/showdocument?id=27117" TargetMode="External"/><Relationship Id="rId26" Type="http://schemas.openxmlformats.org/officeDocument/2006/relationships/hyperlink" Target="https://www.cor.net/home/showdocument?id=24898" TargetMode="External"/><Relationship Id="rId47" Type="http://schemas.openxmlformats.org/officeDocument/2006/relationships/hyperlink" Target="https://www.cor.net/home/showdocument?id=25151" TargetMode="External"/><Relationship Id="rId68" Type="http://schemas.openxmlformats.org/officeDocument/2006/relationships/hyperlink" Target="https://www.cor.net/home/showdocument?id=25266" TargetMode="External"/><Relationship Id="rId89" Type="http://schemas.openxmlformats.org/officeDocument/2006/relationships/hyperlink" Target="https://www.cor.net/home/showdocument?id=25532" TargetMode="External"/><Relationship Id="rId112" Type="http://schemas.openxmlformats.org/officeDocument/2006/relationships/hyperlink" Target="https://www.cor.net/home/showdocument?id=25925" TargetMode="External"/><Relationship Id="rId133" Type="http://schemas.openxmlformats.org/officeDocument/2006/relationships/hyperlink" Target="https://www.cor.net/home/showdocument?id=26291" TargetMode="External"/><Relationship Id="rId154" Type="http://schemas.openxmlformats.org/officeDocument/2006/relationships/hyperlink" Target="https://www.cor.net/home/showdocument?id=26427" TargetMode="External"/><Relationship Id="rId175" Type="http://schemas.openxmlformats.org/officeDocument/2006/relationships/hyperlink" Target="https://www.cor.net/home/showdocument?id=26629" TargetMode="External"/><Relationship Id="rId196" Type="http://schemas.openxmlformats.org/officeDocument/2006/relationships/hyperlink" Target="https://www.cor.net/home/showdocument?id=26787" TargetMode="External"/><Relationship Id="rId200" Type="http://schemas.openxmlformats.org/officeDocument/2006/relationships/hyperlink" Target="https://www.cor.net/home/showdocument?id=26783" TargetMode="External"/><Relationship Id="rId16" Type="http://schemas.openxmlformats.org/officeDocument/2006/relationships/hyperlink" Target="https://www.cor.net/home/showdocument?id=24825" TargetMode="External"/><Relationship Id="rId37" Type="http://schemas.openxmlformats.org/officeDocument/2006/relationships/hyperlink" Target="https://www.cor.net/home/showdocument?id=24985" TargetMode="External"/><Relationship Id="rId58" Type="http://schemas.openxmlformats.org/officeDocument/2006/relationships/hyperlink" Target="https://www.cor.net/home/showdocument?id=25272" TargetMode="External"/><Relationship Id="rId79" Type="http://schemas.openxmlformats.org/officeDocument/2006/relationships/hyperlink" Target="https://www.cor.net/home/showdocument?id=25422" TargetMode="External"/><Relationship Id="rId102" Type="http://schemas.openxmlformats.org/officeDocument/2006/relationships/hyperlink" Target="https://www.cor.net/home/showdocument?id=25643" TargetMode="External"/><Relationship Id="rId123" Type="http://schemas.openxmlformats.org/officeDocument/2006/relationships/hyperlink" Target="https://www.cor.net/home/showdocument?id=26051" TargetMode="External"/><Relationship Id="rId144" Type="http://schemas.openxmlformats.org/officeDocument/2006/relationships/hyperlink" Target="https://www.cor.net/home/showdocument?id=26317" TargetMode="External"/><Relationship Id="rId90" Type="http://schemas.openxmlformats.org/officeDocument/2006/relationships/hyperlink" Target="https://www.cor.net/home/showdocument?id=25514" TargetMode="External"/><Relationship Id="rId165" Type="http://schemas.openxmlformats.org/officeDocument/2006/relationships/hyperlink" Target="https://www.cor.net/home/showdocument?id=26555" TargetMode="External"/><Relationship Id="rId186" Type="http://schemas.openxmlformats.org/officeDocument/2006/relationships/hyperlink" Target="https://www.cor.net/home/showdocument?id=26651" TargetMode="External"/><Relationship Id="rId211" Type="http://schemas.openxmlformats.org/officeDocument/2006/relationships/hyperlink" Target="https://www.cor.net/home/showdocument?id=26987" TargetMode="External"/><Relationship Id="rId27" Type="http://schemas.openxmlformats.org/officeDocument/2006/relationships/hyperlink" Target="https://www.cor.net/home/showdocument?id=24900" TargetMode="External"/><Relationship Id="rId48" Type="http://schemas.openxmlformats.org/officeDocument/2006/relationships/hyperlink" Target="https://www.cor.net/home/showdocument?id=25155" TargetMode="External"/><Relationship Id="rId69" Type="http://schemas.openxmlformats.org/officeDocument/2006/relationships/hyperlink" Target="https://www.cor.net/home/showdocument?id=25332" TargetMode="External"/><Relationship Id="rId113" Type="http://schemas.openxmlformats.org/officeDocument/2006/relationships/hyperlink" Target="https://www.cor.net/home/showdocument?id=25997" TargetMode="External"/><Relationship Id="rId134" Type="http://schemas.openxmlformats.org/officeDocument/2006/relationships/hyperlink" Target="https://www.cor.net/home/showdocument?id=26279" TargetMode="External"/><Relationship Id="rId80" Type="http://schemas.openxmlformats.org/officeDocument/2006/relationships/hyperlink" Target="https://www.cor.net/home/showdocument?id=25424" TargetMode="External"/><Relationship Id="rId155" Type="http://schemas.openxmlformats.org/officeDocument/2006/relationships/hyperlink" Target="https://www.cor.net/home/showdocument?id=26425" TargetMode="External"/><Relationship Id="rId176" Type="http://schemas.openxmlformats.org/officeDocument/2006/relationships/hyperlink" Target="https://www.cor.net/home/showdocument?id=26609" TargetMode="External"/><Relationship Id="rId197" Type="http://schemas.openxmlformats.org/officeDocument/2006/relationships/hyperlink" Target="https://www.cor.net/home/showdocument?id=26789" TargetMode="External"/><Relationship Id="rId201" Type="http://schemas.openxmlformats.org/officeDocument/2006/relationships/hyperlink" Target="https://www.cor.net/home/showdocument?id=26781" TargetMode="External"/><Relationship Id="rId17" Type="http://schemas.openxmlformats.org/officeDocument/2006/relationships/hyperlink" Target="https://www.cor.net/home/showdocument?id=24827" TargetMode="External"/><Relationship Id="rId38" Type="http://schemas.openxmlformats.org/officeDocument/2006/relationships/hyperlink" Target="https://www.cor.net/home/showdocument?id=25051" TargetMode="External"/><Relationship Id="rId59" Type="http://schemas.openxmlformats.org/officeDocument/2006/relationships/hyperlink" Target="https://www.cor.net/home/showdocument?id=25270" TargetMode="External"/><Relationship Id="rId103" Type="http://schemas.openxmlformats.org/officeDocument/2006/relationships/hyperlink" Target="https://www.cor.net/home/showdocument?id=25703" TargetMode="External"/><Relationship Id="rId124" Type="http://schemas.openxmlformats.org/officeDocument/2006/relationships/hyperlink" Target="https://www.cor.net/home/showdocument?id=26111" TargetMode="External"/><Relationship Id="rId70" Type="http://schemas.openxmlformats.org/officeDocument/2006/relationships/hyperlink" Target="https://www.cor.net/home/showdocument?id=25316" TargetMode="External"/><Relationship Id="rId91" Type="http://schemas.openxmlformats.org/officeDocument/2006/relationships/hyperlink" Target="https://www.cor.net/home/showdocument?id=25516" TargetMode="External"/><Relationship Id="rId145" Type="http://schemas.openxmlformats.org/officeDocument/2006/relationships/hyperlink" Target="https://www.cor.net/home/showdocument?id=26315" TargetMode="External"/><Relationship Id="rId166" Type="http://schemas.openxmlformats.org/officeDocument/2006/relationships/hyperlink" Target="https://www.cor.net/home/showdocument?id=26559" TargetMode="External"/><Relationship Id="rId187" Type="http://schemas.openxmlformats.org/officeDocument/2006/relationships/hyperlink" Target="https://www.cor.net/home/showdocument?id=26709" TargetMode="External"/><Relationship Id="rId1" Type="http://schemas.openxmlformats.org/officeDocument/2006/relationships/hyperlink" Target="https://www.cor.net/home/showdocument?id=24729" TargetMode="External"/><Relationship Id="rId212" Type="http://schemas.openxmlformats.org/officeDocument/2006/relationships/hyperlink" Target="https://www.cor.net/home/showdocument?id=26977" TargetMode="External"/><Relationship Id="rId28" Type="http://schemas.openxmlformats.org/officeDocument/2006/relationships/hyperlink" Target="https://www.cor.net/home/showdocument?id=24896" TargetMode="External"/><Relationship Id="rId49" Type="http://schemas.openxmlformats.org/officeDocument/2006/relationships/hyperlink" Target="https://www.cor.net/home/showdocument?id=25149" TargetMode="External"/><Relationship Id="rId114" Type="http://schemas.openxmlformats.org/officeDocument/2006/relationships/hyperlink" Target="https://www.cor.net/home/showdocument?id=26053" TargetMode="External"/><Relationship Id="rId60" Type="http://schemas.openxmlformats.org/officeDocument/2006/relationships/hyperlink" Target="https://www.cor.net/home/showdocument?id=25268" TargetMode="External"/><Relationship Id="rId81" Type="http://schemas.openxmlformats.org/officeDocument/2006/relationships/hyperlink" Target="https://www.cor.net/home/showdocument?id=25426" TargetMode="External"/><Relationship Id="rId135" Type="http://schemas.openxmlformats.org/officeDocument/2006/relationships/hyperlink" Target="https://www.cor.net/home/showdocument?id=26281" TargetMode="External"/><Relationship Id="rId156" Type="http://schemas.openxmlformats.org/officeDocument/2006/relationships/hyperlink" Target="https://www.cor.net/home/showdocument?id=26421" TargetMode="External"/><Relationship Id="rId177" Type="http://schemas.openxmlformats.org/officeDocument/2006/relationships/hyperlink" Target="https://www.cor.net/home/showdocument?id=26611" TargetMode="External"/><Relationship Id="rId198" Type="http://schemas.openxmlformats.org/officeDocument/2006/relationships/hyperlink" Target="https://www.cor.net/home/showdocument?id=26791" TargetMode="External"/><Relationship Id="rId202" Type="http://schemas.openxmlformats.org/officeDocument/2006/relationships/hyperlink" Target="https://www.cor.net/home/showdocument?id=26795" TargetMode="External"/><Relationship Id="rId18" Type="http://schemas.openxmlformats.org/officeDocument/2006/relationships/hyperlink" Target="https://www.cor.net/home/showdocument?id=24829" TargetMode="External"/><Relationship Id="rId39" Type="http://schemas.openxmlformats.org/officeDocument/2006/relationships/hyperlink" Target="https://www.cor.net/home/showdocument?id=25057" TargetMode="External"/><Relationship Id="rId50" Type="http://schemas.openxmlformats.org/officeDocument/2006/relationships/hyperlink" Target="https://www.cor.net/home/showdocument?id=25157" TargetMode="External"/><Relationship Id="rId104" Type="http://schemas.openxmlformats.org/officeDocument/2006/relationships/hyperlink" Target="https://www.cor.net/home/showdocument?id=25705" TargetMode="External"/><Relationship Id="rId125" Type="http://schemas.openxmlformats.org/officeDocument/2006/relationships/hyperlink" Target="http://www.richardsoncorporatechallenge.com/doc/Main_Street_Reconstruction_CSP_903-19_Proposal.pdf" TargetMode="External"/><Relationship Id="rId146" Type="http://schemas.openxmlformats.org/officeDocument/2006/relationships/hyperlink" Target="https://www.cor.net/home/showdocument?id=26367" TargetMode="External"/><Relationship Id="rId167" Type="http://schemas.openxmlformats.org/officeDocument/2006/relationships/hyperlink" Target="https://www.cor.net/home/showdocument?id=26557" TargetMode="External"/><Relationship Id="rId188" Type="http://schemas.openxmlformats.org/officeDocument/2006/relationships/hyperlink" Target="https://www.cor.net/home/showdocument?id=26705" TargetMode="External"/><Relationship Id="rId71" Type="http://schemas.openxmlformats.org/officeDocument/2006/relationships/hyperlink" Target="https://www.cor.net/home/showdocument?id=25340" TargetMode="External"/><Relationship Id="rId92" Type="http://schemas.openxmlformats.org/officeDocument/2006/relationships/hyperlink" Target="https://www.cor.net/home/showdocument?id=25518" TargetMode="External"/><Relationship Id="rId213" Type="http://schemas.openxmlformats.org/officeDocument/2006/relationships/hyperlink" Target="https://www.cor.net/home/showdocument?id=27115" TargetMode="External"/><Relationship Id="rId2" Type="http://schemas.openxmlformats.org/officeDocument/2006/relationships/hyperlink" Target="https://www.cor.net/home/showdocument?id=24731" TargetMode="External"/><Relationship Id="rId29" Type="http://schemas.openxmlformats.org/officeDocument/2006/relationships/hyperlink" Target="https://www.cor.net/home/showdocument?id=24977" TargetMode="External"/><Relationship Id="rId40" Type="http://schemas.openxmlformats.org/officeDocument/2006/relationships/hyperlink" Target="https://www.cor.net/home/showdocument?id=25055" TargetMode="External"/><Relationship Id="rId115" Type="http://schemas.openxmlformats.org/officeDocument/2006/relationships/hyperlink" Target="https://www.cor.net/home/showdocument?id=26055" TargetMode="External"/><Relationship Id="rId136" Type="http://schemas.openxmlformats.org/officeDocument/2006/relationships/hyperlink" Target="https://www.cor.net/home/showdocument?id=26283" TargetMode="External"/><Relationship Id="rId157" Type="http://schemas.openxmlformats.org/officeDocument/2006/relationships/hyperlink" Target="https://www.cor.net/home/showdocument?id=26423" TargetMode="External"/><Relationship Id="rId178" Type="http://schemas.openxmlformats.org/officeDocument/2006/relationships/hyperlink" Target="https://www.cor.net/home/showdocument?id=26613" TargetMode="External"/><Relationship Id="rId61" Type="http://schemas.openxmlformats.org/officeDocument/2006/relationships/hyperlink" Target="https://www.cor.net/home/showdocument?id=25352" TargetMode="External"/><Relationship Id="rId82" Type="http://schemas.openxmlformats.org/officeDocument/2006/relationships/hyperlink" Target="https://www.cor.net/home/showdocument?id=25420" TargetMode="External"/><Relationship Id="rId199" Type="http://schemas.openxmlformats.org/officeDocument/2006/relationships/hyperlink" Target="https://www.cor.net/home/showdocument?id=26793" TargetMode="External"/><Relationship Id="rId203" Type="http://schemas.openxmlformats.org/officeDocument/2006/relationships/hyperlink" Target="https://www.cor.net/home/showdocument?id=26797" TargetMode="External"/><Relationship Id="rId19" Type="http://schemas.openxmlformats.org/officeDocument/2006/relationships/hyperlink" Target="https://www.cor.net/home/showdocument?id=24831"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cor.net/home/showdocument?id=21351" TargetMode="External"/><Relationship Id="rId21" Type="http://schemas.openxmlformats.org/officeDocument/2006/relationships/hyperlink" Target="https://www.cor.net/home/showdocument?id=20175" TargetMode="External"/><Relationship Id="rId42" Type="http://schemas.openxmlformats.org/officeDocument/2006/relationships/hyperlink" Target="https://www.cor.net/home/showdocument?id=20480" TargetMode="External"/><Relationship Id="rId63" Type="http://schemas.openxmlformats.org/officeDocument/2006/relationships/hyperlink" Target="https://www.cor.net/home/showdocument?id=20590" TargetMode="External"/><Relationship Id="rId84" Type="http://schemas.openxmlformats.org/officeDocument/2006/relationships/hyperlink" Target="https://www.cor.net/home/showdocument?id=20956" TargetMode="External"/><Relationship Id="rId138" Type="http://schemas.openxmlformats.org/officeDocument/2006/relationships/hyperlink" Target="https://www.cor.net/home/showdocument?id=22559" TargetMode="External"/><Relationship Id="rId159" Type="http://schemas.openxmlformats.org/officeDocument/2006/relationships/hyperlink" Target="https://www.cor.net/home/showdocument?id=22971" TargetMode="External"/><Relationship Id="rId170" Type="http://schemas.openxmlformats.org/officeDocument/2006/relationships/hyperlink" Target="https://www.cor.net/home/showdocument?id=22957" TargetMode="External"/><Relationship Id="rId191" Type="http://schemas.openxmlformats.org/officeDocument/2006/relationships/hyperlink" Target="https://www.cor.net/home/showdocument?id=23161" TargetMode="External"/><Relationship Id="rId205" Type="http://schemas.openxmlformats.org/officeDocument/2006/relationships/hyperlink" Target="https://www.cor.net/home/showdocument?id=23285" TargetMode="External"/><Relationship Id="rId226" Type="http://schemas.openxmlformats.org/officeDocument/2006/relationships/hyperlink" Target="https://www.cor.net/home/showdocument?id=24549" TargetMode="External"/><Relationship Id="rId107" Type="http://schemas.openxmlformats.org/officeDocument/2006/relationships/hyperlink" Target="https://www.cor.net/home/showdocument?id=21227" TargetMode="External"/><Relationship Id="rId11" Type="http://schemas.openxmlformats.org/officeDocument/2006/relationships/hyperlink" Target="https://www.cor.net/home/showdocument?id=20076" TargetMode="External"/><Relationship Id="rId32" Type="http://schemas.openxmlformats.org/officeDocument/2006/relationships/hyperlink" Target="https://www.cor.net/home/showdocument?id=20337" TargetMode="External"/><Relationship Id="rId53" Type="http://schemas.openxmlformats.org/officeDocument/2006/relationships/hyperlink" Target="https://www.cor.net/home/showdocument?id=20468" TargetMode="External"/><Relationship Id="rId74" Type="http://schemas.openxmlformats.org/officeDocument/2006/relationships/hyperlink" Target="https://www.cor.net/home/showdocument?id=20818" TargetMode="External"/><Relationship Id="rId128" Type="http://schemas.openxmlformats.org/officeDocument/2006/relationships/hyperlink" Target="https://www.cor.net/home/showdocument?id=22481" TargetMode="External"/><Relationship Id="rId149" Type="http://schemas.openxmlformats.org/officeDocument/2006/relationships/hyperlink" Target="https://www.cor.net/home/showdocument?id=22761" TargetMode="External"/><Relationship Id="rId5" Type="http://schemas.openxmlformats.org/officeDocument/2006/relationships/hyperlink" Target="https://www.cor.net/home/showdocument?id=19940" TargetMode="External"/><Relationship Id="rId95" Type="http://schemas.openxmlformats.org/officeDocument/2006/relationships/hyperlink" Target="https://www.cor.net/home/showdocument?id=21133" TargetMode="External"/><Relationship Id="rId160" Type="http://schemas.openxmlformats.org/officeDocument/2006/relationships/hyperlink" Target="https://www.cor.net/home/showdocument?id=22951" TargetMode="External"/><Relationship Id="rId181" Type="http://schemas.openxmlformats.org/officeDocument/2006/relationships/hyperlink" Target="https://www.cor.net/home/showdocument?id=23047" TargetMode="External"/><Relationship Id="rId216" Type="http://schemas.openxmlformats.org/officeDocument/2006/relationships/hyperlink" Target="https://www.cor.net/home/showdocument?id=24407" TargetMode="External"/><Relationship Id="rId237" Type="http://schemas.openxmlformats.org/officeDocument/2006/relationships/hyperlink" Target="https://www.cor.net/home/showdocument?id=24725" TargetMode="External"/><Relationship Id="rId22" Type="http://schemas.openxmlformats.org/officeDocument/2006/relationships/hyperlink" Target="https://www.cor.net/home/showdocument?id=20265" TargetMode="External"/><Relationship Id="rId43" Type="http://schemas.openxmlformats.org/officeDocument/2006/relationships/hyperlink" Target="https://www.cor.net/home/showdocument?id=20482" TargetMode="External"/><Relationship Id="rId64" Type="http://schemas.openxmlformats.org/officeDocument/2006/relationships/hyperlink" Target="https://www.cor.net/home/showdocument?id=20592" TargetMode="External"/><Relationship Id="rId118" Type="http://schemas.openxmlformats.org/officeDocument/2006/relationships/hyperlink" Target="https://www.cor.net/home/showdocument?id=21355" TargetMode="External"/><Relationship Id="rId139" Type="http://schemas.openxmlformats.org/officeDocument/2006/relationships/hyperlink" Target="https://www.cor.net/home/showdocument?id=22557" TargetMode="External"/><Relationship Id="rId85" Type="http://schemas.openxmlformats.org/officeDocument/2006/relationships/hyperlink" Target="https://www.cor.net/home/showdocument?id=20944" TargetMode="External"/><Relationship Id="rId150" Type="http://schemas.openxmlformats.org/officeDocument/2006/relationships/hyperlink" Target="https://www.cor.net/home/showdocument?id=22775" TargetMode="External"/><Relationship Id="rId171" Type="http://schemas.openxmlformats.org/officeDocument/2006/relationships/hyperlink" Target="https://www.cor.net/home/showdocument?id=22959" TargetMode="External"/><Relationship Id="rId192" Type="http://schemas.openxmlformats.org/officeDocument/2006/relationships/hyperlink" Target="https://www.cor.net/home/showdocument?id=23167" TargetMode="External"/><Relationship Id="rId206" Type="http://schemas.openxmlformats.org/officeDocument/2006/relationships/hyperlink" Target="https://www.cor.net/home/showdocument?id=24333" TargetMode="External"/><Relationship Id="rId227" Type="http://schemas.openxmlformats.org/officeDocument/2006/relationships/hyperlink" Target="https://www.cor.net/home/showdocument?id=24555" TargetMode="External"/><Relationship Id="rId12" Type="http://schemas.openxmlformats.org/officeDocument/2006/relationships/hyperlink" Target="https://www.cor.net/home/showdocument?id=20074" TargetMode="External"/><Relationship Id="rId33" Type="http://schemas.openxmlformats.org/officeDocument/2006/relationships/hyperlink" Target="https://www.cor.net/home/showdocument?id=20338" TargetMode="External"/><Relationship Id="rId108" Type="http://schemas.openxmlformats.org/officeDocument/2006/relationships/hyperlink" Target="https://www.cor.net/home/showdocument?id=21323" TargetMode="External"/><Relationship Id="rId129" Type="http://schemas.openxmlformats.org/officeDocument/2006/relationships/hyperlink" Target="https://www.cor.net/home/showdocument?id=22577" TargetMode="External"/><Relationship Id="rId54" Type="http://schemas.openxmlformats.org/officeDocument/2006/relationships/hyperlink" Target="https://www.cor.net/home/showdocument?id=20466" TargetMode="External"/><Relationship Id="rId75" Type="http://schemas.openxmlformats.org/officeDocument/2006/relationships/hyperlink" Target="https://www.cor.net/home/showdocument?id=20826" TargetMode="External"/><Relationship Id="rId96" Type="http://schemas.openxmlformats.org/officeDocument/2006/relationships/hyperlink" Target="https://www.cor.net/home/showdocument?id=21131" TargetMode="External"/><Relationship Id="rId140" Type="http://schemas.openxmlformats.org/officeDocument/2006/relationships/hyperlink" Target="https://www.cor.net/home/showdocument?id=22563" TargetMode="External"/><Relationship Id="rId161" Type="http://schemas.openxmlformats.org/officeDocument/2006/relationships/hyperlink" Target="https://www.cor.net/home/showdocument?id=22967" TargetMode="External"/><Relationship Id="rId182" Type="http://schemas.openxmlformats.org/officeDocument/2006/relationships/hyperlink" Target="https://www.cor.net/home/showdocument?id=23049" TargetMode="External"/><Relationship Id="rId217" Type="http://schemas.openxmlformats.org/officeDocument/2006/relationships/hyperlink" Target="https://www.cor.net/home/showdocument?id=24409" TargetMode="External"/><Relationship Id="rId6" Type="http://schemas.openxmlformats.org/officeDocument/2006/relationships/hyperlink" Target="https://www.cor.net/home/showdocument?id=19941" TargetMode="External"/><Relationship Id="rId238" Type="http://schemas.openxmlformats.org/officeDocument/2006/relationships/hyperlink" Target="https://www.cor.net/home/showdocument?id=24727" TargetMode="External"/><Relationship Id="rId23" Type="http://schemas.openxmlformats.org/officeDocument/2006/relationships/hyperlink" Target="https://www.cor.net/home/showdocument?id=20263" TargetMode="External"/><Relationship Id="rId119" Type="http://schemas.openxmlformats.org/officeDocument/2006/relationships/hyperlink" Target="https://www.cor.net/home/showdocument?id=21419" TargetMode="External"/><Relationship Id="rId44" Type="http://schemas.openxmlformats.org/officeDocument/2006/relationships/hyperlink" Target="https://www.cor.net/home/showdocument?id=20404" TargetMode="External"/><Relationship Id="rId65" Type="http://schemas.openxmlformats.org/officeDocument/2006/relationships/hyperlink" Target="https://www.cor.net/home/showdocument?id=20594" TargetMode="External"/><Relationship Id="rId86" Type="http://schemas.openxmlformats.org/officeDocument/2006/relationships/hyperlink" Target="https://www.cor.net/home/showdocument?id=20954" TargetMode="External"/><Relationship Id="rId130" Type="http://schemas.openxmlformats.org/officeDocument/2006/relationships/hyperlink" Target="https://www.cor.net/home/showdocument?id=22565" TargetMode="External"/><Relationship Id="rId151" Type="http://schemas.openxmlformats.org/officeDocument/2006/relationships/hyperlink" Target="https://www.cor.net/home/showdocument?id=22777" TargetMode="External"/><Relationship Id="rId172" Type="http://schemas.openxmlformats.org/officeDocument/2006/relationships/hyperlink" Target="https://www.cor.net/home/showdocument?id=23031" TargetMode="External"/><Relationship Id="rId193" Type="http://schemas.openxmlformats.org/officeDocument/2006/relationships/hyperlink" Target="https://www.cor.net/home/showdocument?id=23169" TargetMode="External"/><Relationship Id="rId207" Type="http://schemas.openxmlformats.org/officeDocument/2006/relationships/hyperlink" Target="https://www.cor.net/home/showdocument?id=24331" TargetMode="External"/><Relationship Id="rId228" Type="http://schemas.openxmlformats.org/officeDocument/2006/relationships/hyperlink" Target="https://www.cor.net/home/showdocument?id=24595" TargetMode="External"/><Relationship Id="rId13" Type="http://schemas.openxmlformats.org/officeDocument/2006/relationships/hyperlink" Target="https://www.cor.net/home/showdocument?id=20079" TargetMode="External"/><Relationship Id="rId109" Type="http://schemas.openxmlformats.org/officeDocument/2006/relationships/hyperlink" Target="https://www.cor.net/home/showdocument?id=21321" TargetMode="External"/><Relationship Id="rId34" Type="http://schemas.openxmlformats.org/officeDocument/2006/relationships/hyperlink" Target="https://www.cor.net/home/showdocument?id=20334" TargetMode="External"/><Relationship Id="rId55" Type="http://schemas.openxmlformats.org/officeDocument/2006/relationships/hyperlink" Target="https://www.cor.net/home/showdocument?id=20464" TargetMode="External"/><Relationship Id="rId76" Type="http://schemas.openxmlformats.org/officeDocument/2006/relationships/hyperlink" Target="https://www.cor.net/home/showdocument?id=20824" TargetMode="External"/><Relationship Id="rId97" Type="http://schemas.openxmlformats.org/officeDocument/2006/relationships/hyperlink" Target="https://www.cor.net/home/showdocument?id=21129" TargetMode="External"/><Relationship Id="rId120" Type="http://schemas.openxmlformats.org/officeDocument/2006/relationships/hyperlink" Target="https://www.cor.net/home/showdocument?id=21421" TargetMode="External"/><Relationship Id="rId141" Type="http://schemas.openxmlformats.org/officeDocument/2006/relationships/hyperlink" Target="https://www.cor.net/home/showdocument?id=22561" TargetMode="External"/><Relationship Id="rId7" Type="http://schemas.openxmlformats.org/officeDocument/2006/relationships/hyperlink" Target="https://www.cor.net/home/showdocument?id=20077" TargetMode="External"/><Relationship Id="rId162" Type="http://schemas.openxmlformats.org/officeDocument/2006/relationships/hyperlink" Target="https://www.cor.net/home/showdocument?id=22969" TargetMode="External"/><Relationship Id="rId183" Type="http://schemas.openxmlformats.org/officeDocument/2006/relationships/hyperlink" Target="https://www.cor.net/home/showdocument?id=23051" TargetMode="External"/><Relationship Id="rId218" Type="http://schemas.openxmlformats.org/officeDocument/2006/relationships/hyperlink" Target="https://www.cor.net/home/showdocument?id=24411" TargetMode="External"/><Relationship Id="rId239" Type="http://schemas.openxmlformats.org/officeDocument/2006/relationships/hyperlink" Target="https://www.cor.net/home/showdocument?id=24745" TargetMode="External"/><Relationship Id="rId24" Type="http://schemas.openxmlformats.org/officeDocument/2006/relationships/hyperlink" Target="https://www.cor.net/home/showdocument?id=20262" TargetMode="External"/><Relationship Id="rId45" Type="http://schemas.openxmlformats.org/officeDocument/2006/relationships/hyperlink" Target="https://www.cor.net/home/showdocument?id=20398" TargetMode="External"/><Relationship Id="rId66" Type="http://schemas.openxmlformats.org/officeDocument/2006/relationships/hyperlink" Target="https://www.cor.net/home/showdocument?id=20596" TargetMode="External"/><Relationship Id="rId87" Type="http://schemas.openxmlformats.org/officeDocument/2006/relationships/hyperlink" Target="https://www.cor.net/home/showdocument?id=21077" TargetMode="External"/><Relationship Id="rId110" Type="http://schemas.openxmlformats.org/officeDocument/2006/relationships/hyperlink" Target="https://www.cor.net/home/showdocument?id=21319" TargetMode="External"/><Relationship Id="rId131" Type="http://schemas.openxmlformats.org/officeDocument/2006/relationships/hyperlink" Target="https://www.cor.net/home/showdocument?id=22567" TargetMode="External"/><Relationship Id="rId152" Type="http://schemas.openxmlformats.org/officeDocument/2006/relationships/hyperlink" Target="https://www.cor.net/home/showdocument?id=22773" TargetMode="External"/><Relationship Id="rId173" Type="http://schemas.openxmlformats.org/officeDocument/2006/relationships/hyperlink" Target="https://www.cor.net/home/showdocument?id=23029" TargetMode="External"/><Relationship Id="rId194" Type="http://schemas.openxmlformats.org/officeDocument/2006/relationships/hyperlink" Target="https://www.cor.net/home/showdocument?id=23171" TargetMode="External"/><Relationship Id="rId208" Type="http://schemas.openxmlformats.org/officeDocument/2006/relationships/hyperlink" Target="https://www.cor.net/home/showdocument?id=24327" TargetMode="External"/><Relationship Id="rId229" Type="http://schemas.openxmlformats.org/officeDocument/2006/relationships/hyperlink" Target="https://www.cor.net/home/showdocument?id=24597" TargetMode="External"/><Relationship Id="rId240" Type="http://schemas.openxmlformats.org/officeDocument/2006/relationships/hyperlink" Target="https://www.cor.net/home/showdocument?id=24835" TargetMode="External"/><Relationship Id="rId14" Type="http://schemas.openxmlformats.org/officeDocument/2006/relationships/hyperlink" Target="https://www.cor.net/home/showdocument?id=20173" TargetMode="External"/><Relationship Id="rId35" Type="http://schemas.openxmlformats.org/officeDocument/2006/relationships/hyperlink" Target="https://www.cor.net/home/showdocument?id=20336" TargetMode="External"/><Relationship Id="rId56" Type="http://schemas.openxmlformats.org/officeDocument/2006/relationships/hyperlink" Target="https://www.cor.net/home/showdocument?id=20462" TargetMode="External"/><Relationship Id="rId77" Type="http://schemas.openxmlformats.org/officeDocument/2006/relationships/hyperlink" Target="https://www.cor.net/home/showdocument?id=20822" TargetMode="External"/><Relationship Id="rId100" Type="http://schemas.openxmlformats.org/officeDocument/2006/relationships/hyperlink" Target="https://www.cor.net/home/showdocument?id=21127" TargetMode="External"/><Relationship Id="rId8" Type="http://schemas.openxmlformats.org/officeDocument/2006/relationships/hyperlink" Target="https://www.cor.net/home/showdocument?id=20075" TargetMode="External"/><Relationship Id="rId98" Type="http://schemas.openxmlformats.org/officeDocument/2006/relationships/hyperlink" Target="https://www.cor.net/home/showdocument?id=21139" TargetMode="External"/><Relationship Id="rId121" Type="http://schemas.openxmlformats.org/officeDocument/2006/relationships/hyperlink" Target="https://www.cor.net/home/showdocument?id=21423" TargetMode="External"/><Relationship Id="rId142" Type="http://schemas.openxmlformats.org/officeDocument/2006/relationships/hyperlink" Target="https://www.cor.net/home/showdocument?id=22723" TargetMode="External"/><Relationship Id="rId163" Type="http://schemas.openxmlformats.org/officeDocument/2006/relationships/hyperlink" Target="https://www.cor.net/home/showdocument?id=22961" TargetMode="External"/><Relationship Id="rId184" Type="http://schemas.openxmlformats.org/officeDocument/2006/relationships/hyperlink" Target="https://www.cor.net/home/showdocument?id=23053" TargetMode="External"/><Relationship Id="rId219" Type="http://schemas.openxmlformats.org/officeDocument/2006/relationships/hyperlink" Target="https://www.cor.net/home/showdocument?id=24413" TargetMode="External"/><Relationship Id="rId230" Type="http://schemas.openxmlformats.org/officeDocument/2006/relationships/hyperlink" Target="https://www.cor.net/home/showdocument?id=24599" TargetMode="External"/><Relationship Id="rId25" Type="http://schemas.openxmlformats.org/officeDocument/2006/relationships/hyperlink" Target="https://www.cor.net/home/showdocument?id=20261" TargetMode="External"/><Relationship Id="rId46" Type="http://schemas.openxmlformats.org/officeDocument/2006/relationships/hyperlink" Target="https://www.cor.net/home/showdocument?id=20402" TargetMode="External"/><Relationship Id="rId67" Type="http://schemas.openxmlformats.org/officeDocument/2006/relationships/hyperlink" Target="https://www.cor.net/home/showdocument?id=20598" TargetMode="External"/><Relationship Id="rId88" Type="http://schemas.openxmlformats.org/officeDocument/2006/relationships/hyperlink" Target="https://www.cor.net/home/showdocument?id=21079" TargetMode="External"/><Relationship Id="rId111" Type="http://schemas.openxmlformats.org/officeDocument/2006/relationships/hyperlink" Target="https://www.cor.net/home/showdocument?id=21317" TargetMode="External"/><Relationship Id="rId132" Type="http://schemas.openxmlformats.org/officeDocument/2006/relationships/hyperlink" Target="https://www.cor.net/home/showdocument?id=22569" TargetMode="External"/><Relationship Id="rId153" Type="http://schemas.openxmlformats.org/officeDocument/2006/relationships/hyperlink" Target="https://www.cor.net/home/showdocument?id=22835" TargetMode="External"/><Relationship Id="rId174" Type="http://schemas.openxmlformats.org/officeDocument/2006/relationships/hyperlink" Target="https://www.cor.net/home/showdocument?id=23043" TargetMode="External"/><Relationship Id="rId195" Type="http://schemas.openxmlformats.org/officeDocument/2006/relationships/hyperlink" Target="https://www.cor.net/home/showdocument?id=23173" TargetMode="External"/><Relationship Id="rId209" Type="http://schemas.openxmlformats.org/officeDocument/2006/relationships/hyperlink" Target="https://www.cor.net/home/showdocument?id=24329" TargetMode="External"/><Relationship Id="rId220" Type="http://schemas.openxmlformats.org/officeDocument/2006/relationships/hyperlink" Target="https://www.cor.net/home/showdocument?id=24405" TargetMode="External"/><Relationship Id="rId241" Type="http://schemas.openxmlformats.org/officeDocument/2006/relationships/hyperlink" Target="https://www.cor.net/home/showdocument?id=24837" TargetMode="External"/><Relationship Id="rId15" Type="http://schemas.openxmlformats.org/officeDocument/2006/relationships/hyperlink" Target="https://www.cor.net/home/showdocument?id=20172" TargetMode="External"/><Relationship Id="rId36" Type="http://schemas.openxmlformats.org/officeDocument/2006/relationships/hyperlink" Target="https://www.cor.net/home/showdocument?id=20335" TargetMode="External"/><Relationship Id="rId57" Type="http://schemas.openxmlformats.org/officeDocument/2006/relationships/hyperlink" Target="https://www.cor.net/home/showdocument?id=20460" TargetMode="External"/><Relationship Id="rId106" Type="http://schemas.openxmlformats.org/officeDocument/2006/relationships/hyperlink" Target="https://www.cor.net/home/showdocument?id=21225" TargetMode="External"/><Relationship Id="rId127" Type="http://schemas.openxmlformats.org/officeDocument/2006/relationships/hyperlink" Target="https://www.cor.net/home/showdocument?id=22483" TargetMode="External"/><Relationship Id="rId10" Type="http://schemas.openxmlformats.org/officeDocument/2006/relationships/hyperlink" Target="https://www.cor.net/home/showdocument?id=20073" TargetMode="External"/><Relationship Id="rId31" Type="http://schemas.openxmlformats.org/officeDocument/2006/relationships/hyperlink" Target="https://www.cor.net/home/showdocument?id=20264" TargetMode="External"/><Relationship Id="rId52" Type="http://schemas.openxmlformats.org/officeDocument/2006/relationships/hyperlink" Target="https://www.cor.net/home/showdocument?id=20470" TargetMode="External"/><Relationship Id="rId73" Type="http://schemas.openxmlformats.org/officeDocument/2006/relationships/hyperlink" Target="https://www.cor.net/home/showdocument?id=20828" TargetMode="External"/><Relationship Id="rId78" Type="http://schemas.openxmlformats.org/officeDocument/2006/relationships/hyperlink" Target="https://www.cor.net/home/showdocument?id=20960" TargetMode="External"/><Relationship Id="rId94" Type="http://schemas.openxmlformats.org/officeDocument/2006/relationships/hyperlink" Target="https://www.cor.net/home/showdocument?id=21067" TargetMode="External"/><Relationship Id="rId99" Type="http://schemas.openxmlformats.org/officeDocument/2006/relationships/hyperlink" Target="https://www.cor.net/home/showdocument?id=21125" TargetMode="External"/><Relationship Id="rId101" Type="http://schemas.openxmlformats.org/officeDocument/2006/relationships/hyperlink" Target="https://www.cor.net/home/showdocument?id=21135" TargetMode="External"/><Relationship Id="rId122" Type="http://schemas.openxmlformats.org/officeDocument/2006/relationships/hyperlink" Target="https://www.cor.net/home/showdocument?id=21425" TargetMode="External"/><Relationship Id="rId143" Type="http://schemas.openxmlformats.org/officeDocument/2006/relationships/hyperlink" Target="https://www.cor.net/home/showdocument?id=22721" TargetMode="External"/><Relationship Id="rId148" Type="http://schemas.openxmlformats.org/officeDocument/2006/relationships/hyperlink" Target="https://www.cor.net/home/showdocument?id=22711" TargetMode="External"/><Relationship Id="rId164" Type="http://schemas.openxmlformats.org/officeDocument/2006/relationships/hyperlink" Target="https://www.cor.net/home/showdocument?id=22963" TargetMode="External"/><Relationship Id="rId169" Type="http://schemas.openxmlformats.org/officeDocument/2006/relationships/hyperlink" Target="https://www.cor.net/home/showdocument?id=22965" TargetMode="External"/><Relationship Id="rId185" Type="http://schemas.openxmlformats.org/officeDocument/2006/relationships/hyperlink" Target="https://www.cor.net/home/showdocument?id=23055" TargetMode="External"/><Relationship Id="rId4" Type="http://schemas.openxmlformats.org/officeDocument/2006/relationships/hyperlink" Target="https://www.cor.net/home/showdocument?id=19947" TargetMode="External"/><Relationship Id="rId9" Type="http://schemas.openxmlformats.org/officeDocument/2006/relationships/hyperlink" Target="https://www.cor.net/home/showdocument?id=20072" TargetMode="External"/><Relationship Id="rId180" Type="http://schemas.openxmlformats.org/officeDocument/2006/relationships/hyperlink" Target="https://www.cor.net/home/showdocument?id=23045" TargetMode="External"/><Relationship Id="rId210" Type="http://schemas.openxmlformats.org/officeDocument/2006/relationships/hyperlink" Target="https://www.cor.net/home/showdocument?id=24393" TargetMode="External"/><Relationship Id="rId215" Type="http://schemas.openxmlformats.org/officeDocument/2006/relationships/hyperlink" Target="https://www.cor.net/home/showdocument?id=24403" TargetMode="External"/><Relationship Id="rId236" Type="http://schemas.openxmlformats.org/officeDocument/2006/relationships/hyperlink" Target="https://www.cor.net/home/showdocument?id=24723" TargetMode="External"/><Relationship Id="rId26" Type="http://schemas.openxmlformats.org/officeDocument/2006/relationships/hyperlink" Target="https://www.cor.net/home/showdocument?id=20260" TargetMode="External"/><Relationship Id="rId231" Type="http://schemas.openxmlformats.org/officeDocument/2006/relationships/hyperlink" Target="https://www.cor.net/home/showdocument?id=24601" TargetMode="External"/><Relationship Id="rId47" Type="http://schemas.openxmlformats.org/officeDocument/2006/relationships/hyperlink" Target="https://www.cor.net/home/showdocument?id=20410" TargetMode="External"/><Relationship Id="rId68" Type="http://schemas.openxmlformats.org/officeDocument/2006/relationships/hyperlink" Target="https://www.cor.net/home/showdocument?id=20710" TargetMode="External"/><Relationship Id="rId89" Type="http://schemas.openxmlformats.org/officeDocument/2006/relationships/hyperlink" Target="https://www.cor.net/home/showdocument?id=21081" TargetMode="External"/><Relationship Id="rId112" Type="http://schemas.openxmlformats.org/officeDocument/2006/relationships/hyperlink" Target="https://www.cor.net/home/showdocument?id=21315" TargetMode="External"/><Relationship Id="rId133" Type="http://schemas.openxmlformats.org/officeDocument/2006/relationships/hyperlink" Target="https://www.cor.net/home/showdocument?id=22571" TargetMode="External"/><Relationship Id="rId154" Type="http://schemas.openxmlformats.org/officeDocument/2006/relationships/hyperlink" Target="https://www.cor.net/home/showdocument?id=22837" TargetMode="External"/><Relationship Id="rId175" Type="http://schemas.openxmlformats.org/officeDocument/2006/relationships/hyperlink" Target="https://www.cor.net/home/showdocument?id=23039" TargetMode="External"/><Relationship Id="rId196" Type="http://schemas.openxmlformats.org/officeDocument/2006/relationships/hyperlink" Target="https://www.cor.net/home/showdocument?id=23163" TargetMode="External"/><Relationship Id="rId200" Type="http://schemas.openxmlformats.org/officeDocument/2006/relationships/hyperlink" Target="https://www.cor.net/home/showdocument?id=23177" TargetMode="External"/><Relationship Id="rId16" Type="http://schemas.openxmlformats.org/officeDocument/2006/relationships/hyperlink" Target="https://www.cor.net/home/showdocument?id=20171" TargetMode="External"/><Relationship Id="rId221" Type="http://schemas.openxmlformats.org/officeDocument/2006/relationships/hyperlink" Target="https://www.cor.net/home/showdocument?id=24441" TargetMode="External"/><Relationship Id="rId242" Type="http://schemas.openxmlformats.org/officeDocument/2006/relationships/hyperlink" Target="https://www.cor.net/home/showdocument?id=24839" TargetMode="External"/><Relationship Id="rId37" Type="http://schemas.openxmlformats.org/officeDocument/2006/relationships/hyperlink" Target="https://www.cor.net/home/showdocument?id=20368" TargetMode="External"/><Relationship Id="rId58" Type="http://schemas.openxmlformats.org/officeDocument/2006/relationships/hyperlink" Target="https://www.cor.net/home/showdocument?id=20458" TargetMode="External"/><Relationship Id="rId79" Type="http://schemas.openxmlformats.org/officeDocument/2006/relationships/hyperlink" Target="https://www.cor.net/home/showdocument?id=20958" TargetMode="External"/><Relationship Id="rId102" Type="http://schemas.openxmlformats.org/officeDocument/2006/relationships/hyperlink" Target="https://www.cor.net/home/showdocument?id=21137" TargetMode="External"/><Relationship Id="rId123" Type="http://schemas.openxmlformats.org/officeDocument/2006/relationships/hyperlink" Target="https://www.cor.net/home/showdocument?id=21427" TargetMode="External"/><Relationship Id="rId144" Type="http://schemas.openxmlformats.org/officeDocument/2006/relationships/hyperlink" Target="https://www.cor.net/home/showdocument?id=22717" TargetMode="External"/><Relationship Id="rId90" Type="http://schemas.openxmlformats.org/officeDocument/2006/relationships/hyperlink" Target="https://www.cor.net/home/showdocument?id=21073" TargetMode="External"/><Relationship Id="rId165" Type="http://schemas.openxmlformats.org/officeDocument/2006/relationships/hyperlink" Target="https://www.cor.net/home/showdocument?id=22953" TargetMode="External"/><Relationship Id="rId186" Type="http://schemas.openxmlformats.org/officeDocument/2006/relationships/hyperlink" Target="https://www.cor.net/home/showdocument?id=23057" TargetMode="External"/><Relationship Id="rId211" Type="http://schemas.openxmlformats.org/officeDocument/2006/relationships/hyperlink" Target="https://www.cor.net/home/showdocument?id=24395" TargetMode="External"/><Relationship Id="rId232" Type="http://schemas.openxmlformats.org/officeDocument/2006/relationships/hyperlink" Target="https://www.cor.net/home/showdocument?id=24603" TargetMode="External"/><Relationship Id="rId27" Type="http://schemas.openxmlformats.org/officeDocument/2006/relationships/hyperlink" Target="https://www.cor.net/home/showdocument?id=20259" TargetMode="External"/><Relationship Id="rId48" Type="http://schemas.openxmlformats.org/officeDocument/2006/relationships/hyperlink" Target="https://www.cor.net/home/showdocument?id=20476" TargetMode="External"/><Relationship Id="rId69" Type="http://schemas.openxmlformats.org/officeDocument/2006/relationships/hyperlink" Target="https://www.cor.net/home/showdocument?id=20712" TargetMode="External"/><Relationship Id="rId113" Type="http://schemas.openxmlformats.org/officeDocument/2006/relationships/hyperlink" Target="https://www.cor.net/home/showdocument?id=21358" TargetMode="External"/><Relationship Id="rId134" Type="http://schemas.openxmlformats.org/officeDocument/2006/relationships/hyperlink" Target="https://www.cor.net/home/showdocument?id=22573" TargetMode="External"/><Relationship Id="rId80" Type="http://schemas.openxmlformats.org/officeDocument/2006/relationships/hyperlink" Target="https://www.cor.net/home/showdocument?id=20952" TargetMode="External"/><Relationship Id="rId155" Type="http://schemas.openxmlformats.org/officeDocument/2006/relationships/hyperlink" Target="https://www.cor.net/home/showdocument?id=22843" TargetMode="External"/><Relationship Id="rId176" Type="http://schemas.openxmlformats.org/officeDocument/2006/relationships/hyperlink" Target="https://www.cor.net/home/showdocument?id=23041" TargetMode="External"/><Relationship Id="rId197" Type="http://schemas.openxmlformats.org/officeDocument/2006/relationships/hyperlink" Target="https://www.cor.net/home/showdocument?id=23165" TargetMode="External"/><Relationship Id="rId201" Type="http://schemas.openxmlformats.org/officeDocument/2006/relationships/hyperlink" Target="https://www.cor.net/home/showdocument?id=23275" TargetMode="External"/><Relationship Id="rId222" Type="http://schemas.openxmlformats.org/officeDocument/2006/relationships/hyperlink" Target="https://www.cor.net/home/showdocument?id=24443" TargetMode="External"/><Relationship Id="rId243" Type="http://schemas.openxmlformats.org/officeDocument/2006/relationships/hyperlink" Target="https://www.cor.net/home/showdocument?id=26057" TargetMode="External"/><Relationship Id="rId17" Type="http://schemas.openxmlformats.org/officeDocument/2006/relationships/hyperlink" Target="https://www.cor.net/home/showdocument?id=20169" TargetMode="External"/><Relationship Id="rId38" Type="http://schemas.openxmlformats.org/officeDocument/2006/relationships/hyperlink" Target="https://www.cor.net/home/showdocument?id=20370" TargetMode="External"/><Relationship Id="rId59" Type="http://schemas.openxmlformats.org/officeDocument/2006/relationships/hyperlink" Target="https://www.cor.net/home/showdocument?id=20474" TargetMode="External"/><Relationship Id="rId103" Type="http://schemas.openxmlformats.org/officeDocument/2006/relationships/hyperlink" Target="https://www.cor.net/home/showdocument?id=21221" TargetMode="External"/><Relationship Id="rId124" Type="http://schemas.openxmlformats.org/officeDocument/2006/relationships/hyperlink" Target="https://www.cor.net/home/showdocument?id=21415" TargetMode="External"/><Relationship Id="rId70" Type="http://schemas.openxmlformats.org/officeDocument/2006/relationships/hyperlink" Target="https://www.cor.net/home/showdocument?id=20708" TargetMode="External"/><Relationship Id="rId91" Type="http://schemas.openxmlformats.org/officeDocument/2006/relationships/hyperlink" Target="https://www.cor.net/home/showdocument?id=21069" TargetMode="External"/><Relationship Id="rId145" Type="http://schemas.openxmlformats.org/officeDocument/2006/relationships/hyperlink" Target="https://www.cor.net/home/showdocument?id=22719" TargetMode="External"/><Relationship Id="rId166" Type="http://schemas.openxmlformats.org/officeDocument/2006/relationships/hyperlink" Target="https://www.cor.net/home/showdocument?id=22955" TargetMode="External"/><Relationship Id="rId187" Type="http://schemas.openxmlformats.org/officeDocument/2006/relationships/hyperlink" Target="https://www.cor.net/home/showdocument?id=23059" TargetMode="External"/><Relationship Id="rId1" Type="http://schemas.openxmlformats.org/officeDocument/2006/relationships/hyperlink" Target="https://www.cor.net/home/showdocument?id=19945" TargetMode="External"/><Relationship Id="rId212" Type="http://schemas.openxmlformats.org/officeDocument/2006/relationships/hyperlink" Target="https://www.cor.net/home/showdocument?id=24397" TargetMode="External"/><Relationship Id="rId233" Type="http://schemas.openxmlformats.org/officeDocument/2006/relationships/hyperlink" Target="https://www.cor.net/home/showdocument?id=24605" TargetMode="External"/><Relationship Id="rId28" Type="http://schemas.openxmlformats.org/officeDocument/2006/relationships/hyperlink" Target="https://www.cor.net/home/showdocument?id=20258" TargetMode="External"/><Relationship Id="rId49" Type="http://schemas.openxmlformats.org/officeDocument/2006/relationships/hyperlink" Target="https://www.cor.net/home/showdocument?id=20400" TargetMode="External"/><Relationship Id="rId114" Type="http://schemas.openxmlformats.org/officeDocument/2006/relationships/hyperlink" Target="https://www.cor.net/home/showdocument?id=21353" TargetMode="External"/><Relationship Id="rId60" Type="http://schemas.openxmlformats.org/officeDocument/2006/relationships/hyperlink" Target="https://www.cor.net/home/showdocument?id=20496" TargetMode="External"/><Relationship Id="rId81" Type="http://schemas.openxmlformats.org/officeDocument/2006/relationships/hyperlink" Target="https://www.cor.net/home/showdocument?id=20950" TargetMode="External"/><Relationship Id="rId135" Type="http://schemas.openxmlformats.org/officeDocument/2006/relationships/hyperlink" Target="https://www.cor.net/home/showdocument?id=22575" TargetMode="External"/><Relationship Id="rId156" Type="http://schemas.openxmlformats.org/officeDocument/2006/relationships/hyperlink" Target="https://www.cor.net/home/showdocument?id=22845" TargetMode="External"/><Relationship Id="rId177" Type="http://schemas.openxmlformats.org/officeDocument/2006/relationships/hyperlink" Target="https://www.cor.net/home/showdocument?id=23035" TargetMode="External"/><Relationship Id="rId198" Type="http://schemas.openxmlformats.org/officeDocument/2006/relationships/hyperlink" Target="https://www.cor.net/home/showdocument?id=23157" TargetMode="External"/><Relationship Id="rId202" Type="http://schemas.openxmlformats.org/officeDocument/2006/relationships/hyperlink" Target="https://www.cor.net/home/showdocument?id=23277" TargetMode="External"/><Relationship Id="rId223" Type="http://schemas.openxmlformats.org/officeDocument/2006/relationships/hyperlink" Target="https://www.cor.net/home/showdocument?id=24445" TargetMode="External"/><Relationship Id="rId18" Type="http://schemas.openxmlformats.org/officeDocument/2006/relationships/hyperlink" Target="https://www.cor.net/home/showdocument?id=20170" TargetMode="External"/><Relationship Id="rId39" Type="http://schemas.openxmlformats.org/officeDocument/2006/relationships/hyperlink" Target="https://www.cor.net/home/showdocument?id=20369" TargetMode="External"/><Relationship Id="rId50" Type="http://schemas.openxmlformats.org/officeDocument/2006/relationships/hyperlink" Target="https://www.cor.net/home/showdocument?id=20406" TargetMode="External"/><Relationship Id="rId104" Type="http://schemas.openxmlformats.org/officeDocument/2006/relationships/hyperlink" Target="https://www.cor.net/home/showdocument?id=21219" TargetMode="External"/><Relationship Id="rId125" Type="http://schemas.openxmlformats.org/officeDocument/2006/relationships/hyperlink" Target="https://www.cor.net/home/showdocument?id=21413" TargetMode="External"/><Relationship Id="rId146" Type="http://schemas.openxmlformats.org/officeDocument/2006/relationships/hyperlink" Target="https://www.cor.net/home/showdocument?id=22715" TargetMode="External"/><Relationship Id="rId167" Type="http://schemas.openxmlformats.org/officeDocument/2006/relationships/hyperlink" Target="https://www.cor.net/home/showdocument?id=22973" TargetMode="External"/><Relationship Id="rId188" Type="http://schemas.openxmlformats.org/officeDocument/2006/relationships/hyperlink" Target="https://www.cor.net/home/showdocument?id=23101" TargetMode="External"/><Relationship Id="rId71" Type="http://schemas.openxmlformats.org/officeDocument/2006/relationships/hyperlink" Target="https://www.cor.net/home/showdocument?id=20816" TargetMode="External"/><Relationship Id="rId92" Type="http://schemas.openxmlformats.org/officeDocument/2006/relationships/hyperlink" Target="https://www.cor.net/home/showdocument?id=21071" TargetMode="External"/><Relationship Id="rId213" Type="http://schemas.openxmlformats.org/officeDocument/2006/relationships/hyperlink" Target="https://www.cor.net/home/showdocument?id=24399" TargetMode="External"/><Relationship Id="rId234" Type="http://schemas.openxmlformats.org/officeDocument/2006/relationships/hyperlink" Target="https://www.cor.net/home/showdocument?id=24593" TargetMode="External"/><Relationship Id="rId2" Type="http://schemas.openxmlformats.org/officeDocument/2006/relationships/hyperlink" Target="https://www.cor.net/home/showdocument?id=19946" TargetMode="External"/><Relationship Id="rId29" Type="http://schemas.openxmlformats.org/officeDocument/2006/relationships/hyperlink" Target="https://www.cor.net/home/showdocument?id=20257" TargetMode="External"/><Relationship Id="rId40" Type="http://schemas.openxmlformats.org/officeDocument/2006/relationships/hyperlink" Target="https://www.cor.net/home/showdocument?id=20367" TargetMode="External"/><Relationship Id="rId115" Type="http://schemas.openxmlformats.org/officeDocument/2006/relationships/hyperlink" Target="https://www.cor.net/home/showdocument?id=21362" TargetMode="External"/><Relationship Id="rId136" Type="http://schemas.openxmlformats.org/officeDocument/2006/relationships/hyperlink" Target="https://www.cor.net/home/showdocument?id=22555" TargetMode="External"/><Relationship Id="rId157" Type="http://schemas.openxmlformats.org/officeDocument/2006/relationships/hyperlink" Target="https://www.cor.net/home/showdocument?id=22839" TargetMode="External"/><Relationship Id="rId178" Type="http://schemas.openxmlformats.org/officeDocument/2006/relationships/hyperlink" Target="https://www.cor.net/home/showdocument?id=23037" TargetMode="External"/><Relationship Id="rId61" Type="http://schemas.openxmlformats.org/officeDocument/2006/relationships/hyperlink" Target="https://www.cor.net/home/showdocument?id=20408" TargetMode="External"/><Relationship Id="rId82" Type="http://schemas.openxmlformats.org/officeDocument/2006/relationships/hyperlink" Target="https://www.cor.net/home/showdocument?id=20948" TargetMode="External"/><Relationship Id="rId199" Type="http://schemas.openxmlformats.org/officeDocument/2006/relationships/hyperlink" Target="https://www.cor.net/home/showdocument?id=23159" TargetMode="External"/><Relationship Id="rId203" Type="http://schemas.openxmlformats.org/officeDocument/2006/relationships/hyperlink" Target="https://www.cor.net/home/showdocument?id=23283" TargetMode="External"/><Relationship Id="rId19" Type="http://schemas.openxmlformats.org/officeDocument/2006/relationships/hyperlink" Target="https://www.cor.net/home/showdocument?id=20168" TargetMode="External"/><Relationship Id="rId224" Type="http://schemas.openxmlformats.org/officeDocument/2006/relationships/hyperlink" Target="https://www.cor.net/home/showdocument?id=24553" TargetMode="External"/><Relationship Id="rId30" Type="http://schemas.openxmlformats.org/officeDocument/2006/relationships/hyperlink" Target="https://www.cor.net/home/showdocument?id=20256" TargetMode="External"/><Relationship Id="rId105" Type="http://schemas.openxmlformats.org/officeDocument/2006/relationships/hyperlink" Target="https://www.cor.net/home/showdocument?id=21223" TargetMode="External"/><Relationship Id="rId126" Type="http://schemas.openxmlformats.org/officeDocument/2006/relationships/hyperlink" Target="https://www.cor.net/home/showdocument?id=21417" TargetMode="External"/><Relationship Id="rId147" Type="http://schemas.openxmlformats.org/officeDocument/2006/relationships/hyperlink" Target="https://www.cor.net/home/showdocument?id=22713" TargetMode="External"/><Relationship Id="rId168" Type="http://schemas.openxmlformats.org/officeDocument/2006/relationships/hyperlink" Target="https://www.cor.net/home/showdocument?id=22975" TargetMode="External"/><Relationship Id="rId51" Type="http://schemas.openxmlformats.org/officeDocument/2006/relationships/hyperlink" Target="https://www.cor.net/home/showdocument?id=20472" TargetMode="External"/><Relationship Id="rId72" Type="http://schemas.openxmlformats.org/officeDocument/2006/relationships/hyperlink" Target="https://www.cor.net/home/showdocument?id=20830" TargetMode="External"/><Relationship Id="rId93" Type="http://schemas.openxmlformats.org/officeDocument/2006/relationships/hyperlink" Target="https://www.cor.net/home/showdocument?id=21075" TargetMode="External"/><Relationship Id="rId189" Type="http://schemas.openxmlformats.org/officeDocument/2006/relationships/hyperlink" Target="https://www.cor.net/home/showdocument?id=23097" TargetMode="External"/><Relationship Id="rId3" Type="http://schemas.openxmlformats.org/officeDocument/2006/relationships/hyperlink" Target="https://www.cor.net/home/showdocument?id=19948" TargetMode="External"/><Relationship Id="rId214" Type="http://schemas.openxmlformats.org/officeDocument/2006/relationships/hyperlink" Target="https://www.cor.net/home/showdocument?id=24401" TargetMode="External"/><Relationship Id="rId235" Type="http://schemas.openxmlformats.org/officeDocument/2006/relationships/hyperlink" Target="https://www.cor.net/home/showdocument?id=24721" TargetMode="External"/><Relationship Id="rId116" Type="http://schemas.openxmlformats.org/officeDocument/2006/relationships/hyperlink" Target="https://www.cor.net/home/showdocument?id=21366" TargetMode="External"/><Relationship Id="rId137" Type="http://schemas.openxmlformats.org/officeDocument/2006/relationships/hyperlink" Target="https://www.cor.net/home/showdocument?id=22553" TargetMode="External"/><Relationship Id="rId158" Type="http://schemas.openxmlformats.org/officeDocument/2006/relationships/hyperlink" Target="https://www.cor.net/home/showdocument?id=22841" TargetMode="External"/><Relationship Id="rId20" Type="http://schemas.openxmlformats.org/officeDocument/2006/relationships/hyperlink" Target="https://www.cor.net/home/showdocument?id=20174" TargetMode="External"/><Relationship Id="rId41" Type="http://schemas.openxmlformats.org/officeDocument/2006/relationships/hyperlink" Target="https://www.cor.net/home/showdocument?id=20478" TargetMode="External"/><Relationship Id="rId62" Type="http://schemas.openxmlformats.org/officeDocument/2006/relationships/hyperlink" Target="https://www.cor.net/home/showdocument?id=20588" TargetMode="External"/><Relationship Id="rId83" Type="http://schemas.openxmlformats.org/officeDocument/2006/relationships/hyperlink" Target="https://www.cor.net/home/showdocument?id=20946" TargetMode="External"/><Relationship Id="rId179" Type="http://schemas.openxmlformats.org/officeDocument/2006/relationships/hyperlink" Target="https://www.cor.net/home/showdocument?id=23033" TargetMode="External"/><Relationship Id="rId190" Type="http://schemas.openxmlformats.org/officeDocument/2006/relationships/hyperlink" Target="https://www.cor.net/home/showdocument?id=23099" TargetMode="External"/><Relationship Id="rId204" Type="http://schemas.openxmlformats.org/officeDocument/2006/relationships/hyperlink" Target="https://www.cor.net/home/showdocument?id=23289" TargetMode="External"/><Relationship Id="rId225" Type="http://schemas.openxmlformats.org/officeDocument/2006/relationships/hyperlink" Target="https://www.cor.net/home/showdocument?id=245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0DA92-C916-45E1-81A2-744CB05FBD7C}">
  <dimension ref="A1:AH601"/>
  <sheetViews>
    <sheetView tabSelected="1" zoomScale="130" zoomScaleNormal="130" workbookViewId="0">
      <pane xSplit="2" topLeftCell="C1" activePane="topRight" state="frozen"/>
      <selection pane="topRight" activeCell="C1" sqref="C1"/>
    </sheetView>
  </sheetViews>
  <sheetFormatPr defaultColWidth="9.140625" defaultRowHeight="11.25" x14ac:dyDescent="0.2"/>
  <cols>
    <col min="1" max="1" width="6.5703125" style="1" customWidth="1"/>
    <col min="2" max="2" width="47.42578125" style="1" customWidth="1"/>
    <col min="3" max="3" width="8.5703125" style="1" customWidth="1"/>
    <col min="4" max="4" width="9" style="10" bestFit="1" customWidth="1"/>
    <col min="5" max="5" width="17.5703125" style="1" bestFit="1" customWidth="1"/>
    <col min="6" max="9" width="9.42578125" style="1" customWidth="1"/>
    <col min="10" max="10" width="9.85546875" style="1" customWidth="1"/>
    <col min="11" max="11" width="9.5703125" style="1" customWidth="1"/>
    <col min="12" max="12" width="10.85546875" style="14" customWidth="1"/>
    <col min="13" max="13" width="12.85546875" style="14" bestFit="1" customWidth="1"/>
    <col min="14" max="14" width="9.85546875" style="14" bestFit="1" customWidth="1"/>
    <col min="15" max="15" width="9.5703125" style="1" customWidth="1"/>
    <col min="16" max="16" width="11.42578125" style="1" bestFit="1" customWidth="1"/>
    <col min="17" max="17" width="7.42578125" style="1" bestFit="1" customWidth="1"/>
    <col min="18" max="18" width="24.85546875" style="1" bestFit="1" customWidth="1"/>
    <col min="19" max="20" width="16.42578125" style="1" bestFit="1" customWidth="1"/>
    <col min="21" max="21" width="16.42578125" style="1" customWidth="1"/>
    <col min="22" max="22" width="9.42578125" style="14" bestFit="1" customWidth="1"/>
    <col min="23" max="23" width="10.140625" style="14" bestFit="1" customWidth="1"/>
    <col min="24" max="24" width="28.85546875" style="14" bestFit="1" customWidth="1"/>
    <col min="25" max="16384" width="9.140625" style="1"/>
  </cols>
  <sheetData>
    <row r="1" spans="1:24" ht="12.75" x14ac:dyDescent="0.2">
      <c r="A1" s="204" t="s">
        <v>63</v>
      </c>
      <c r="B1" s="205"/>
      <c r="C1" s="206" t="s">
        <v>2671</v>
      </c>
      <c r="D1" s="47"/>
      <c r="E1" s="208"/>
      <c r="F1" s="208"/>
      <c r="G1" s="208"/>
    </row>
    <row r="2" spans="1:24" ht="15" customHeight="1" x14ac:dyDescent="0.2">
      <c r="A2" s="37" t="s">
        <v>56</v>
      </c>
      <c r="C2" s="208"/>
      <c r="D2" s="207"/>
      <c r="E2" s="208"/>
      <c r="F2" s="208"/>
      <c r="G2" s="208"/>
    </row>
    <row r="3" spans="1:24" ht="15" customHeight="1" x14ac:dyDescent="0.2">
      <c r="A3" s="37" t="s">
        <v>55</v>
      </c>
      <c r="C3" s="208"/>
      <c r="D3" s="207"/>
      <c r="E3" s="208"/>
      <c r="F3" s="208"/>
      <c r="G3" s="208"/>
    </row>
    <row r="4" spans="1:24" ht="15" customHeight="1" x14ac:dyDescent="0.2">
      <c r="A4" s="37" t="s">
        <v>57</v>
      </c>
      <c r="C4" s="208"/>
      <c r="D4" s="207"/>
      <c r="E4" s="208"/>
      <c r="F4" s="208"/>
      <c r="G4" s="208"/>
    </row>
    <row r="5" spans="1:24" ht="15" customHeight="1" x14ac:dyDescent="0.2">
      <c r="A5" s="37" t="s">
        <v>58</v>
      </c>
      <c r="H5" s="82"/>
    </row>
    <row r="6" spans="1:24" ht="15" customHeight="1" x14ac:dyDescent="0.2">
      <c r="A6" s="37" t="s">
        <v>60</v>
      </c>
    </row>
    <row r="7" spans="1:24" ht="15" customHeight="1" x14ac:dyDescent="0.2">
      <c r="A7" s="37" t="s">
        <v>61</v>
      </c>
    </row>
    <row r="8" spans="1:24" ht="15" customHeight="1" x14ac:dyDescent="0.2"/>
    <row r="9" spans="1:24" ht="15.75" x14ac:dyDescent="0.25">
      <c r="A9" s="88" t="s">
        <v>33</v>
      </c>
      <c r="B9" s="88"/>
      <c r="R9" s="6"/>
      <c r="S9" s="6"/>
      <c r="T9" s="6"/>
      <c r="U9" s="6"/>
    </row>
    <row r="10" spans="1:24" ht="15.75" x14ac:dyDescent="0.25">
      <c r="A10" s="88" t="s">
        <v>2421</v>
      </c>
      <c r="B10" s="88"/>
      <c r="R10" s="6"/>
      <c r="S10" s="6"/>
      <c r="T10" s="6"/>
      <c r="U10" s="6"/>
      <c r="X10" s="23"/>
    </row>
    <row r="11" spans="1:24" ht="12" thickBot="1" x14ac:dyDescent="0.25">
      <c r="X11" s="23"/>
    </row>
    <row r="12" spans="1:24" ht="11.45" customHeight="1" x14ac:dyDescent="0.2">
      <c r="A12" s="17"/>
      <c r="B12" s="17"/>
      <c r="C12" s="17"/>
      <c r="D12" s="41"/>
      <c r="E12" s="17"/>
      <c r="F12" s="17"/>
      <c r="G12" s="17"/>
      <c r="H12" s="17"/>
      <c r="I12" s="17"/>
      <c r="J12" s="17"/>
      <c r="K12" s="18" t="s">
        <v>10</v>
      </c>
      <c r="L12" s="18"/>
      <c r="M12" s="18" t="s">
        <v>53</v>
      </c>
      <c r="N12" s="18" t="s">
        <v>47</v>
      </c>
      <c r="O12" s="18" t="s">
        <v>37</v>
      </c>
      <c r="P12" s="17"/>
      <c r="Q12" s="17"/>
      <c r="R12" s="18"/>
      <c r="S12" s="18"/>
      <c r="T12" s="18"/>
      <c r="U12" s="18"/>
      <c r="V12" s="18" t="s">
        <v>19</v>
      </c>
      <c r="W12" s="18"/>
      <c r="X12" s="18"/>
    </row>
    <row r="13" spans="1:24" ht="11.45" customHeight="1" x14ac:dyDescent="0.2">
      <c r="A13" s="19" t="s">
        <v>0</v>
      </c>
      <c r="B13" s="19" t="s">
        <v>1</v>
      </c>
      <c r="C13" s="19" t="s">
        <v>0</v>
      </c>
      <c r="D13" s="42" t="s">
        <v>39</v>
      </c>
      <c r="E13" s="19" t="s">
        <v>2</v>
      </c>
      <c r="F13" s="19" t="s">
        <v>0</v>
      </c>
      <c r="G13" s="19" t="s">
        <v>41</v>
      </c>
      <c r="H13" s="19" t="s">
        <v>41</v>
      </c>
      <c r="I13" s="19" t="s">
        <v>41</v>
      </c>
      <c r="J13" s="19" t="s">
        <v>41</v>
      </c>
      <c r="K13" s="19" t="s">
        <v>3</v>
      </c>
      <c r="L13" s="19" t="s">
        <v>51</v>
      </c>
      <c r="M13" s="19" t="s">
        <v>54</v>
      </c>
      <c r="N13" s="19" t="s">
        <v>50</v>
      </c>
      <c r="O13" s="19" t="s">
        <v>38</v>
      </c>
      <c r="P13" s="19" t="s">
        <v>4</v>
      </c>
      <c r="Q13" s="19" t="s">
        <v>4</v>
      </c>
      <c r="R13" s="19" t="s">
        <v>14</v>
      </c>
      <c r="S13" s="19" t="s">
        <v>15</v>
      </c>
      <c r="T13" s="19" t="s">
        <v>16</v>
      </c>
      <c r="U13" s="19" t="s">
        <v>70</v>
      </c>
      <c r="V13" s="19" t="s">
        <v>20</v>
      </c>
      <c r="W13" s="19" t="s">
        <v>26</v>
      </c>
      <c r="X13" s="19" t="s">
        <v>65</v>
      </c>
    </row>
    <row r="14" spans="1:24" ht="11.45" customHeight="1" x14ac:dyDescent="0.2">
      <c r="A14" s="19" t="s">
        <v>5</v>
      </c>
      <c r="B14" s="19"/>
      <c r="C14" s="19" t="s">
        <v>39</v>
      </c>
      <c r="D14" s="42" t="s">
        <v>40</v>
      </c>
      <c r="E14" s="19" t="s">
        <v>7</v>
      </c>
      <c r="F14" s="19" t="s">
        <v>64</v>
      </c>
      <c r="G14" s="19" t="s">
        <v>42</v>
      </c>
      <c r="H14" s="19" t="s">
        <v>43</v>
      </c>
      <c r="I14" s="19" t="s">
        <v>44</v>
      </c>
      <c r="J14" s="19" t="s">
        <v>45</v>
      </c>
      <c r="K14" s="19" t="s">
        <v>6</v>
      </c>
      <c r="L14" s="19" t="s">
        <v>36</v>
      </c>
      <c r="M14" s="19" t="s">
        <v>13</v>
      </c>
      <c r="N14" s="19" t="s">
        <v>13</v>
      </c>
      <c r="O14" s="19" t="s">
        <v>4</v>
      </c>
      <c r="P14" s="19" t="s">
        <v>9</v>
      </c>
      <c r="Q14" s="19" t="s">
        <v>6</v>
      </c>
      <c r="R14" s="19"/>
      <c r="S14" s="19"/>
      <c r="T14" s="19"/>
      <c r="U14" s="19"/>
      <c r="V14" s="19" t="s">
        <v>28</v>
      </c>
      <c r="W14" s="19" t="s">
        <v>27</v>
      </c>
      <c r="X14" s="19"/>
    </row>
    <row r="15" spans="1:24" ht="2.25" customHeight="1" thickBot="1" x14ac:dyDescent="0.25">
      <c r="A15" s="21"/>
      <c r="B15" s="20"/>
      <c r="C15" s="22"/>
      <c r="D15" s="43"/>
      <c r="E15" s="20"/>
      <c r="F15" s="22"/>
      <c r="G15" s="22"/>
      <c r="H15" s="22"/>
      <c r="I15" s="22"/>
      <c r="J15" s="22"/>
      <c r="K15" s="20"/>
      <c r="L15" s="20"/>
      <c r="M15" s="20"/>
      <c r="N15" s="20"/>
      <c r="O15" s="20"/>
      <c r="P15" s="20"/>
      <c r="Q15" s="20"/>
      <c r="R15" s="20"/>
      <c r="S15" s="20"/>
      <c r="T15" s="20"/>
      <c r="U15" s="20"/>
      <c r="V15" s="20"/>
      <c r="W15" s="20"/>
      <c r="X15" s="20"/>
    </row>
    <row r="16" spans="1:24" x14ac:dyDescent="0.2">
      <c r="A16" s="2" t="s">
        <v>2422</v>
      </c>
      <c r="B16" s="81" t="s">
        <v>2542</v>
      </c>
      <c r="C16" s="4">
        <v>44448</v>
      </c>
      <c r="D16" s="49" t="s">
        <v>2423</v>
      </c>
      <c r="E16" s="3" t="s">
        <v>2424</v>
      </c>
      <c r="F16" s="49" t="s">
        <v>2425</v>
      </c>
      <c r="G16" s="49"/>
      <c r="H16" s="49"/>
      <c r="I16" s="4"/>
      <c r="J16" s="4"/>
      <c r="K16" s="4">
        <v>44488</v>
      </c>
      <c r="L16" s="49" t="s">
        <v>2471</v>
      </c>
      <c r="M16" s="200">
        <f>485518+436975.3</f>
        <v>922493.3</v>
      </c>
      <c r="N16" s="32">
        <v>2</v>
      </c>
      <c r="O16" s="49" t="s">
        <v>2613</v>
      </c>
      <c r="P16" s="89">
        <v>437575.3</v>
      </c>
      <c r="Q16" s="4">
        <v>44543</v>
      </c>
      <c r="R16" s="90" t="s">
        <v>2607</v>
      </c>
      <c r="S16" s="90"/>
      <c r="T16" s="90"/>
      <c r="U16" s="90"/>
      <c r="V16" s="33" t="s">
        <v>72</v>
      </c>
      <c r="W16" s="33" t="s">
        <v>24</v>
      </c>
      <c r="X16" s="53"/>
    </row>
    <row r="17" spans="1:24" ht="22.5" x14ac:dyDescent="0.2">
      <c r="A17" s="2" t="s">
        <v>2426</v>
      </c>
      <c r="B17" s="81" t="s">
        <v>2427</v>
      </c>
      <c r="C17" s="4">
        <v>44461</v>
      </c>
      <c r="D17" s="49" t="s">
        <v>2428</v>
      </c>
      <c r="E17" s="3" t="s">
        <v>2429</v>
      </c>
      <c r="F17" s="49" t="s">
        <v>2604</v>
      </c>
      <c r="G17" s="49" t="s">
        <v>2601</v>
      </c>
      <c r="H17" s="47"/>
      <c r="I17" s="4"/>
      <c r="J17" s="4"/>
      <c r="K17" s="4">
        <v>44489</v>
      </c>
      <c r="L17" s="49" t="s">
        <v>2472</v>
      </c>
      <c r="M17" s="200">
        <f>9255913.48+9509151.99+13577435.6+10868949.3</f>
        <v>43211450.370000005</v>
      </c>
      <c r="N17" s="32">
        <v>4</v>
      </c>
      <c r="O17" s="49" t="s">
        <v>2563</v>
      </c>
      <c r="P17" s="95">
        <v>8462577.8800000008</v>
      </c>
      <c r="Q17" s="5">
        <v>44508</v>
      </c>
      <c r="R17" s="90" t="s">
        <v>2575</v>
      </c>
      <c r="S17" s="91"/>
      <c r="T17" s="91"/>
      <c r="U17" s="91"/>
      <c r="V17" s="33" t="s">
        <v>72</v>
      </c>
      <c r="W17" s="33" t="s">
        <v>24</v>
      </c>
      <c r="X17" s="53"/>
    </row>
    <row r="18" spans="1:24" x14ac:dyDescent="0.2">
      <c r="A18" s="2" t="s">
        <v>2430</v>
      </c>
      <c r="B18" s="81" t="s">
        <v>2431</v>
      </c>
      <c r="C18" s="4">
        <v>44449</v>
      </c>
      <c r="D18" s="49" t="s">
        <v>2432</v>
      </c>
      <c r="E18" s="3" t="s">
        <v>2433</v>
      </c>
      <c r="F18" s="49" t="s">
        <v>2434</v>
      </c>
      <c r="G18" s="5"/>
      <c r="H18" s="5"/>
      <c r="I18" s="5"/>
      <c r="J18" s="5"/>
      <c r="K18" s="4">
        <v>44477</v>
      </c>
      <c r="L18" s="49" t="s">
        <v>2470</v>
      </c>
      <c r="M18" s="31">
        <v>72500</v>
      </c>
      <c r="N18" s="32">
        <v>1</v>
      </c>
      <c r="O18" s="49" t="s">
        <v>2482</v>
      </c>
      <c r="P18" s="89">
        <v>72500</v>
      </c>
      <c r="Q18" s="4">
        <v>44494</v>
      </c>
      <c r="R18" s="90" t="s">
        <v>2539</v>
      </c>
      <c r="S18" s="90"/>
      <c r="T18" s="90"/>
      <c r="U18" s="90"/>
      <c r="V18" s="33" t="s">
        <v>72</v>
      </c>
      <c r="W18" s="33" t="s">
        <v>23</v>
      </c>
      <c r="X18" s="53"/>
    </row>
    <row r="19" spans="1:24" ht="22.5" x14ac:dyDescent="0.2">
      <c r="A19" s="2" t="s">
        <v>2435</v>
      </c>
      <c r="B19" s="81" t="s">
        <v>2436</v>
      </c>
      <c r="C19" s="5" t="s">
        <v>86</v>
      </c>
      <c r="D19" s="44" t="s">
        <v>86</v>
      </c>
      <c r="E19" s="3" t="s">
        <v>2437</v>
      </c>
      <c r="F19" s="49" t="s">
        <v>2438</v>
      </c>
      <c r="G19" s="49"/>
      <c r="H19" s="5"/>
      <c r="I19" s="5"/>
      <c r="J19" s="5"/>
      <c r="K19" s="4">
        <v>44474</v>
      </c>
      <c r="L19" s="49" t="s">
        <v>2473</v>
      </c>
      <c r="M19" s="31">
        <f>192000*N19</f>
        <v>576000</v>
      </c>
      <c r="N19" s="32">
        <v>3</v>
      </c>
      <c r="O19" s="49" t="s">
        <v>2483</v>
      </c>
      <c r="P19" s="89">
        <v>192000</v>
      </c>
      <c r="Q19" s="4">
        <v>44494</v>
      </c>
      <c r="R19" s="90" t="s">
        <v>2540</v>
      </c>
      <c r="S19" s="90"/>
      <c r="T19" s="90"/>
      <c r="U19" s="90"/>
      <c r="V19" s="33" t="s">
        <v>72</v>
      </c>
      <c r="W19" s="33" t="s">
        <v>23</v>
      </c>
      <c r="X19" s="53"/>
    </row>
    <row r="20" spans="1:24" x14ac:dyDescent="0.2">
      <c r="A20" s="2" t="s">
        <v>2439</v>
      </c>
      <c r="B20" s="81" t="s">
        <v>2440</v>
      </c>
      <c r="C20" s="4">
        <v>44462</v>
      </c>
      <c r="D20" s="49" t="s">
        <v>2441</v>
      </c>
      <c r="E20" s="3" t="s">
        <v>2442</v>
      </c>
      <c r="F20" s="49" t="s">
        <v>2475</v>
      </c>
      <c r="G20" s="49" t="s">
        <v>2474</v>
      </c>
      <c r="H20" s="5"/>
      <c r="I20" s="5"/>
      <c r="J20" s="5"/>
      <c r="K20" s="4">
        <v>44489</v>
      </c>
      <c r="L20" s="49" t="s">
        <v>2481</v>
      </c>
      <c r="M20" s="31">
        <f>1315040+1367851+1377086+1419035+1449750+1462000+1769625+1943800</f>
        <v>12104187</v>
      </c>
      <c r="N20" s="32">
        <v>8</v>
      </c>
      <c r="O20" s="49" t="s">
        <v>2564</v>
      </c>
      <c r="P20" s="89">
        <v>1315040</v>
      </c>
      <c r="Q20" s="4">
        <v>44508</v>
      </c>
      <c r="R20" s="90" t="s">
        <v>2576</v>
      </c>
      <c r="S20" s="90"/>
      <c r="T20" s="90"/>
      <c r="U20" s="90"/>
      <c r="V20" s="33" t="s">
        <v>72</v>
      </c>
      <c r="W20" s="33" t="s">
        <v>24</v>
      </c>
      <c r="X20" s="53"/>
    </row>
    <row r="21" spans="1:24" x14ac:dyDescent="0.2">
      <c r="A21" s="2" t="s">
        <v>2443</v>
      </c>
      <c r="B21" s="81" t="s">
        <v>2444</v>
      </c>
      <c r="C21" s="5" t="s">
        <v>86</v>
      </c>
      <c r="D21" s="44" t="s">
        <v>86</v>
      </c>
      <c r="E21" s="3" t="s">
        <v>2445</v>
      </c>
      <c r="F21" s="49" t="s">
        <v>2476</v>
      </c>
      <c r="G21" s="5"/>
      <c r="H21" s="5"/>
      <c r="I21" s="5"/>
      <c r="J21" s="5"/>
      <c r="K21" s="4">
        <v>44488</v>
      </c>
      <c r="L21" s="49" t="s">
        <v>2552</v>
      </c>
      <c r="M21" s="31">
        <f>60000*N21</f>
        <v>120000</v>
      </c>
      <c r="N21" s="32">
        <v>2</v>
      </c>
      <c r="O21" s="49" t="s">
        <v>2565</v>
      </c>
      <c r="P21" s="89">
        <v>60000</v>
      </c>
      <c r="Q21" s="4">
        <v>44508</v>
      </c>
      <c r="R21" s="90" t="s">
        <v>2577</v>
      </c>
      <c r="S21" s="90"/>
      <c r="T21" s="90"/>
      <c r="U21" s="90"/>
      <c r="V21" s="33" t="s">
        <v>72</v>
      </c>
      <c r="W21" s="33" t="s">
        <v>23</v>
      </c>
      <c r="X21" s="53"/>
    </row>
    <row r="22" spans="1:24" x14ac:dyDescent="0.2">
      <c r="A22" s="2" t="s">
        <v>2446</v>
      </c>
      <c r="B22" s="81" t="s">
        <v>2622</v>
      </c>
      <c r="C22" s="5" t="s">
        <v>86</v>
      </c>
      <c r="D22" s="44" t="s">
        <v>86</v>
      </c>
      <c r="E22" s="3" t="s">
        <v>2555</v>
      </c>
      <c r="F22" s="49" t="s">
        <v>2583</v>
      </c>
      <c r="G22" s="49" t="s">
        <v>2602</v>
      </c>
      <c r="H22" s="49"/>
      <c r="I22" s="5"/>
      <c r="J22" s="5"/>
      <c r="K22" s="4">
        <v>44523</v>
      </c>
      <c r="L22" s="49" t="s">
        <v>2605</v>
      </c>
      <c r="M22" s="31">
        <f>260000*N22</f>
        <v>780000</v>
      </c>
      <c r="N22" s="32">
        <v>3</v>
      </c>
      <c r="O22" s="49" t="s">
        <v>2631</v>
      </c>
      <c r="P22" s="89">
        <v>260000</v>
      </c>
      <c r="Q22" s="4">
        <v>44571</v>
      </c>
      <c r="R22" s="90" t="s">
        <v>2626</v>
      </c>
      <c r="S22" s="90"/>
      <c r="T22" s="90"/>
      <c r="U22" s="90"/>
      <c r="V22" s="33" t="s">
        <v>72</v>
      </c>
      <c r="W22" s="33" t="s">
        <v>23</v>
      </c>
      <c r="X22" s="53"/>
    </row>
    <row r="23" spans="1:24" x14ac:dyDescent="0.2">
      <c r="A23" s="2" t="s">
        <v>2447</v>
      </c>
      <c r="B23" s="81" t="s">
        <v>2448</v>
      </c>
      <c r="C23" s="4">
        <v>44490</v>
      </c>
      <c r="D23" s="49" t="s">
        <v>2479</v>
      </c>
      <c r="E23" s="5" t="s">
        <v>2538</v>
      </c>
      <c r="F23" s="49" t="s">
        <v>2477</v>
      </c>
      <c r="G23" s="49" t="s">
        <v>2560</v>
      </c>
      <c r="H23" s="49"/>
      <c r="I23" s="49"/>
      <c r="J23" s="5"/>
      <c r="K23" s="5">
        <v>44517</v>
      </c>
      <c r="L23" s="49" t="s">
        <v>2584</v>
      </c>
      <c r="M23" s="31">
        <f>947313+1205953</f>
        <v>2153266</v>
      </c>
      <c r="N23" s="32">
        <v>2</v>
      </c>
      <c r="O23" s="49" t="s">
        <v>2632</v>
      </c>
      <c r="P23" s="95">
        <v>947313</v>
      </c>
      <c r="Q23" s="4">
        <v>44571</v>
      </c>
      <c r="R23" s="90" t="s">
        <v>1123</v>
      </c>
      <c r="S23" s="90"/>
      <c r="T23" s="90"/>
      <c r="U23" s="90"/>
      <c r="V23" s="33" t="s">
        <v>72</v>
      </c>
      <c r="W23" s="33" t="s">
        <v>24</v>
      </c>
      <c r="X23" s="53"/>
    </row>
    <row r="24" spans="1:24" x14ac:dyDescent="0.2">
      <c r="A24" s="2" t="s">
        <v>2449</v>
      </c>
      <c r="B24" s="81" t="s">
        <v>2450</v>
      </c>
      <c r="C24" s="4" t="s">
        <v>86</v>
      </c>
      <c r="D24" s="44" t="s">
        <v>86</v>
      </c>
      <c r="E24" s="5" t="s">
        <v>86</v>
      </c>
      <c r="F24" s="5" t="s">
        <v>86</v>
      </c>
      <c r="G24" s="5"/>
      <c r="H24" s="5"/>
      <c r="I24" s="5"/>
      <c r="J24" s="5"/>
      <c r="K24" s="5" t="s">
        <v>86</v>
      </c>
      <c r="L24" s="5" t="s">
        <v>86</v>
      </c>
      <c r="M24" s="31">
        <v>97500</v>
      </c>
      <c r="N24" s="32">
        <v>1</v>
      </c>
      <c r="O24" s="49" t="s">
        <v>2468</v>
      </c>
      <c r="P24" s="89">
        <v>97500</v>
      </c>
      <c r="Q24" s="4">
        <v>44480</v>
      </c>
      <c r="R24" s="90" t="s">
        <v>2451</v>
      </c>
      <c r="S24" s="90"/>
      <c r="T24" s="90"/>
      <c r="U24" s="90"/>
      <c r="V24" s="33" t="s">
        <v>87</v>
      </c>
      <c r="W24" s="33" t="s">
        <v>24</v>
      </c>
      <c r="X24" s="53" t="s">
        <v>2452</v>
      </c>
    </row>
    <row r="25" spans="1:24" ht="22.5" x14ac:dyDescent="0.2">
      <c r="A25" s="2" t="s">
        <v>2494</v>
      </c>
      <c r="B25" s="81" t="s">
        <v>2495</v>
      </c>
      <c r="C25" s="4" t="s">
        <v>86</v>
      </c>
      <c r="D25" s="44" t="s">
        <v>86</v>
      </c>
      <c r="E25" s="5" t="s">
        <v>86</v>
      </c>
      <c r="F25" s="5" t="s">
        <v>86</v>
      </c>
      <c r="G25" s="5"/>
      <c r="H25" s="5"/>
      <c r="I25" s="5"/>
      <c r="J25" s="5"/>
      <c r="K25" s="5" t="s">
        <v>86</v>
      </c>
      <c r="L25" s="5" t="s">
        <v>86</v>
      </c>
      <c r="M25" s="31">
        <v>62682</v>
      </c>
      <c r="N25" s="32">
        <v>1</v>
      </c>
      <c r="O25" s="49" t="s">
        <v>2484</v>
      </c>
      <c r="P25" s="89">
        <v>62682</v>
      </c>
      <c r="Q25" s="4">
        <v>44494</v>
      </c>
      <c r="R25" s="90" t="s">
        <v>2523</v>
      </c>
      <c r="S25" s="90"/>
      <c r="T25" s="90"/>
      <c r="U25" s="90"/>
      <c r="V25" s="33" t="s">
        <v>87</v>
      </c>
      <c r="W25" s="33" t="s">
        <v>22</v>
      </c>
      <c r="X25" s="53" t="s">
        <v>88</v>
      </c>
    </row>
    <row r="26" spans="1:24" ht="22.5" x14ac:dyDescent="0.2">
      <c r="A26" s="2" t="s">
        <v>2496</v>
      </c>
      <c r="B26" s="81" t="s">
        <v>2497</v>
      </c>
      <c r="C26" s="4" t="s">
        <v>86</v>
      </c>
      <c r="D26" s="44" t="s">
        <v>86</v>
      </c>
      <c r="E26" s="5" t="s">
        <v>86</v>
      </c>
      <c r="F26" s="5" t="s">
        <v>86</v>
      </c>
      <c r="G26" s="5"/>
      <c r="H26" s="5"/>
      <c r="I26" s="5"/>
      <c r="J26" s="5"/>
      <c r="K26" s="5" t="s">
        <v>86</v>
      </c>
      <c r="L26" s="5" t="s">
        <v>86</v>
      </c>
      <c r="M26" s="31">
        <v>67528</v>
      </c>
      <c r="N26" s="32">
        <v>1</v>
      </c>
      <c r="O26" s="49" t="s">
        <v>2485</v>
      </c>
      <c r="P26" s="89">
        <v>67528</v>
      </c>
      <c r="Q26" s="4">
        <v>44494</v>
      </c>
      <c r="R26" s="90" t="s">
        <v>196</v>
      </c>
      <c r="S26" s="90"/>
      <c r="T26" s="90"/>
      <c r="U26" s="90"/>
      <c r="V26" s="33" t="s">
        <v>87</v>
      </c>
      <c r="W26" s="33" t="s">
        <v>22</v>
      </c>
      <c r="X26" s="53" t="s">
        <v>173</v>
      </c>
    </row>
    <row r="27" spans="1:24" ht="22.5" x14ac:dyDescent="0.2">
      <c r="A27" s="2" t="s">
        <v>2498</v>
      </c>
      <c r="B27" s="81" t="s">
        <v>2499</v>
      </c>
      <c r="C27" s="4" t="s">
        <v>86</v>
      </c>
      <c r="D27" s="44" t="s">
        <v>86</v>
      </c>
      <c r="E27" s="5" t="s">
        <v>86</v>
      </c>
      <c r="F27" s="5" t="s">
        <v>86</v>
      </c>
      <c r="G27" s="5"/>
      <c r="H27" s="5"/>
      <c r="I27" s="5"/>
      <c r="J27" s="5"/>
      <c r="K27" s="5" t="s">
        <v>86</v>
      </c>
      <c r="L27" s="5" t="s">
        <v>86</v>
      </c>
      <c r="M27" s="31">
        <v>999274.44</v>
      </c>
      <c r="N27" s="32">
        <v>1</v>
      </c>
      <c r="O27" s="49" t="s">
        <v>2486</v>
      </c>
      <c r="P27" s="89">
        <v>999274.44</v>
      </c>
      <c r="Q27" s="4">
        <v>44494</v>
      </c>
      <c r="R27" s="90" t="s">
        <v>2524</v>
      </c>
      <c r="S27" s="90"/>
      <c r="T27" s="90"/>
      <c r="U27" s="90"/>
      <c r="V27" s="33" t="s">
        <v>87</v>
      </c>
      <c r="W27" s="33" t="s">
        <v>22</v>
      </c>
      <c r="X27" s="53" t="s">
        <v>88</v>
      </c>
    </row>
    <row r="28" spans="1:24" ht="22.5" x14ac:dyDescent="0.2">
      <c r="A28" s="2" t="s">
        <v>2500</v>
      </c>
      <c r="B28" s="93" t="s">
        <v>2501</v>
      </c>
      <c r="C28" s="4" t="s">
        <v>86</v>
      </c>
      <c r="D28" s="44" t="s">
        <v>86</v>
      </c>
      <c r="E28" s="5" t="s">
        <v>86</v>
      </c>
      <c r="F28" s="5" t="s">
        <v>86</v>
      </c>
      <c r="G28" s="5"/>
      <c r="H28" s="5"/>
      <c r="I28" s="5"/>
      <c r="J28" s="5"/>
      <c r="K28" s="5" t="s">
        <v>86</v>
      </c>
      <c r="L28" s="5" t="s">
        <v>86</v>
      </c>
      <c r="M28" s="31">
        <v>166000</v>
      </c>
      <c r="N28" s="32">
        <v>1</v>
      </c>
      <c r="O28" s="49" t="s">
        <v>2487</v>
      </c>
      <c r="P28" s="140">
        <v>166000</v>
      </c>
      <c r="Q28" s="4">
        <v>44494</v>
      </c>
      <c r="R28" s="90" t="s">
        <v>2525</v>
      </c>
      <c r="S28" s="90"/>
      <c r="T28" s="90"/>
      <c r="U28" s="90"/>
      <c r="V28" s="33" t="s">
        <v>87</v>
      </c>
      <c r="W28" s="33" t="s">
        <v>22</v>
      </c>
      <c r="X28" s="53" t="s">
        <v>2289</v>
      </c>
    </row>
    <row r="29" spans="1:24" ht="22.5" x14ac:dyDescent="0.2">
      <c r="A29" s="2" t="s">
        <v>2502</v>
      </c>
      <c r="B29" s="93" t="s">
        <v>2503</v>
      </c>
      <c r="C29" s="4" t="s">
        <v>86</v>
      </c>
      <c r="D29" s="44" t="s">
        <v>86</v>
      </c>
      <c r="E29" s="5" t="s">
        <v>86</v>
      </c>
      <c r="F29" s="5" t="s">
        <v>86</v>
      </c>
      <c r="G29" s="5"/>
      <c r="H29" s="5"/>
      <c r="I29" s="5"/>
      <c r="J29" s="5"/>
      <c r="K29" s="5" t="s">
        <v>86</v>
      </c>
      <c r="L29" s="5" t="s">
        <v>86</v>
      </c>
      <c r="M29" s="31">
        <v>159470.91</v>
      </c>
      <c r="N29" s="32">
        <v>1</v>
      </c>
      <c r="O29" s="49" t="s">
        <v>2488</v>
      </c>
      <c r="P29" s="56">
        <v>159470.91</v>
      </c>
      <c r="Q29" s="4">
        <v>44494</v>
      </c>
      <c r="R29" s="90" t="s">
        <v>148</v>
      </c>
      <c r="S29" s="90"/>
      <c r="T29" s="90"/>
      <c r="U29" s="90"/>
      <c r="V29" s="33" t="s">
        <v>87</v>
      </c>
      <c r="W29" s="33" t="s">
        <v>22</v>
      </c>
      <c r="X29" s="53" t="s">
        <v>140</v>
      </c>
    </row>
    <row r="30" spans="1:24" ht="22.5" x14ac:dyDescent="0.2">
      <c r="A30" s="2" t="s">
        <v>2504</v>
      </c>
      <c r="B30" s="93" t="s">
        <v>2505</v>
      </c>
      <c r="C30" s="4" t="s">
        <v>86</v>
      </c>
      <c r="D30" s="44" t="s">
        <v>86</v>
      </c>
      <c r="E30" s="5" t="s">
        <v>86</v>
      </c>
      <c r="F30" s="5" t="s">
        <v>86</v>
      </c>
      <c r="G30" s="5"/>
      <c r="H30" s="5"/>
      <c r="I30" s="5"/>
      <c r="J30" s="5"/>
      <c r="K30" s="5" t="s">
        <v>86</v>
      </c>
      <c r="L30" s="5" t="s">
        <v>86</v>
      </c>
      <c r="M30" s="31">
        <v>190242</v>
      </c>
      <c r="N30" s="32">
        <v>1</v>
      </c>
      <c r="O30" s="49" t="s">
        <v>2489</v>
      </c>
      <c r="P30" s="89">
        <v>190242</v>
      </c>
      <c r="Q30" s="4">
        <v>44494</v>
      </c>
      <c r="R30" s="90" t="s">
        <v>2526</v>
      </c>
      <c r="S30" s="90"/>
      <c r="T30" s="90"/>
      <c r="U30" s="90"/>
      <c r="V30" s="33" t="s">
        <v>87</v>
      </c>
      <c r="W30" s="33" t="s">
        <v>22</v>
      </c>
      <c r="X30" s="53" t="s">
        <v>88</v>
      </c>
    </row>
    <row r="31" spans="1:24" ht="22.5" x14ac:dyDescent="0.2">
      <c r="A31" s="2" t="s">
        <v>2506</v>
      </c>
      <c r="B31" s="93" t="s">
        <v>2507</v>
      </c>
      <c r="C31" s="4" t="s">
        <v>86</v>
      </c>
      <c r="D31" s="44" t="s">
        <v>86</v>
      </c>
      <c r="E31" s="5" t="s">
        <v>86</v>
      </c>
      <c r="F31" s="5" t="s">
        <v>86</v>
      </c>
      <c r="G31" s="5"/>
      <c r="H31" s="5"/>
      <c r="I31" s="5"/>
      <c r="J31" s="5"/>
      <c r="K31" s="5" t="s">
        <v>86</v>
      </c>
      <c r="L31" s="5" t="s">
        <v>86</v>
      </c>
      <c r="M31" s="31">
        <v>509255</v>
      </c>
      <c r="N31" s="32">
        <v>1</v>
      </c>
      <c r="O31" s="49" t="s">
        <v>2490</v>
      </c>
      <c r="P31" s="89">
        <v>509255</v>
      </c>
      <c r="Q31" s="4">
        <v>44494</v>
      </c>
      <c r="R31" s="90" t="s">
        <v>2527</v>
      </c>
      <c r="S31" s="90"/>
      <c r="T31" s="90"/>
      <c r="U31" s="90"/>
      <c r="V31" s="33" t="s">
        <v>87</v>
      </c>
      <c r="W31" s="33" t="s">
        <v>22</v>
      </c>
      <c r="X31" s="53" t="s">
        <v>88</v>
      </c>
    </row>
    <row r="32" spans="1:24" ht="33.75" x14ac:dyDescent="0.2">
      <c r="A32" s="2" t="s">
        <v>2508</v>
      </c>
      <c r="B32" s="93" t="s">
        <v>2509</v>
      </c>
      <c r="C32" s="4" t="s">
        <v>86</v>
      </c>
      <c r="D32" s="44" t="s">
        <v>86</v>
      </c>
      <c r="E32" s="5" t="s">
        <v>86</v>
      </c>
      <c r="F32" s="5" t="s">
        <v>86</v>
      </c>
      <c r="G32" s="5"/>
      <c r="H32" s="5"/>
      <c r="I32" s="5"/>
      <c r="J32" s="5"/>
      <c r="K32" s="5" t="s">
        <v>86</v>
      </c>
      <c r="L32" s="5" t="s">
        <v>86</v>
      </c>
      <c r="M32" s="31">
        <v>425340.56</v>
      </c>
      <c r="N32" s="32">
        <v>1</v>
      </c>
      <c r="O32" s="49" t="s">
        <v>2491</v>
      </c>
      <c r="P32" s="89">
        <v>425340.56</v>
      </c>
      <c r="Q32" s="4">
        <v>44494</v>
      </c>
      <c r="R32" s="90" t="s">
        <v>2528</v>
      </c>
      <c r="S32" s="90"/>
      <c r="T32" s="90"/>
      <c r="U32" s="90"/>
      <c r="V32" s="33" t="s">
        <v>87</v>
      </c>
      <c r="W32" s="33" t="s">
        <v>22</v>
      </c>
      <c r="X32" s="53" t="s">
        <v>90</v>
      </c>
    </row>
    <row r="33" spans="1:24" x14ac:dyDescent="0.2">
      <c r="A33" s="2" t="s">
        <v>2510</v>
      </c>
      <c r="B33" s="93" t="s">
        <v>2511</v>
      </c>
      <c r="C33" s="4" t="s">
        <v>86</v>
      </c>
      <c r="D33" s="44" t="s">
        <v>86</v>
      </c>
      <c r="E33" s="5" t="s">
        <v>86</v>
      </c>
      <c r="F33" s="5" t="s">
        <v>86</v>
      </c>
      <c r="G33" s="5"/>
      <c r="H33" s="5"/>
      <c r="I33" s="5"/>
      <c r="J33" s="5"/>
      <c r="K33" s="5" t="s">
        <v>86</v>
      </c>
      <c r="L33" s="5" t="s">
        <v>86</v>
      </c>
      <c r="M33" s="31">
        <v>100000</v>
      </c>
      <c r="N33" s="32">
        <v>3</v>
      </c>
      <c r="O33" s="49" t="s">
        <v>2492</v>
      </c>
      <c r="P33" s="89">
        <v>100000</v>
      </c>
      <c r="Q33" s="4">
        <v>44494</v>
      </c>
      <c r="R33" s="90" t="s">
        <v>2529</v>
      </c>
      <c r="S33" s="90" t="s">
        <v>2530</v>
      </c>
      <c r="T33" s="90" t="s">
        <v>2531</v>
      </c>
      <c r="U33" s="90"/>
      <c r="V33" s="33" t="s">
        <v>87</v>
      </c>
      <c r="W33" s="33" t="s">
        <v>22</v>
      </c>
      <c r="X33" s="53" t="s">
        <v>2532</v>
      </c>
    </row>
    <row r="34" spans="1:24" ht="22.5" x14ac:dyDescent="0.2">
      <c r="A34" s="2" t="s">
        <v>2512</v>
      </c>
      <c r="B34" s="93" t="s">
        <v>2513</v>
      </c>
      <c r="C34" s="4" t="s">
        <v>86</v>
      </c>
      <c r="D34" s="44" t="s">
        <v>86</v>
      </c>
      <c r="E34" s="5" t="s">
        <v>86</v>
      </c>
      <c r="F34" s="5" t="s">
        <v>86</v>
      </c>
      <c r="G34" s="5"/>
      <c r="H34" s="5"/>
      <c r="I34" s="5"/>
      <c r="J34" s="5"/>
      <c r="K34" s="5" t="s">
        <v>86</v>
      </c>
      <c r="L34" s="5" t="s">
        <v>86</v>
      </c>
      <c r="M34" s="31">
        <v>98867.75</v>
      </c>
      <c r="N34" s="32">
        <v>3</v>
      </c>
      <c r="O34" s="49" t="s">
        <v>2493</v>
      </c>
      <c r="P34" s="89">
        <v>98867.75</v>
      </c>
      <c r="Q34" s="4">
        <v>44494</v>
      </c>
      <c r="R34" s="90" t="s">
        <v>2533</v>
      </c>
      <c r="S34" s="90" t="s">
        <v>2534</v>
      </c>
      <c r="T34" s="90" t="s">
        <v>2535</v>
      </c>
      <c r="U34" s="90"/>
      <c r="V34" s="33" t="s">
        <v>87</v>
      </c>
      <c r="W34" s="33" t="s">
        <v>22</v>
      </c>
      <c r="X34" s="78" t="s">
        <v>2536</v>
      </c>
    </row>
    <row r="35" spans="1:24" ht="22.5" x14ac:dyDescent="0.2">
      <c r="A35" s="2" t="s">
        <v>2514</v>
      </c>
      <c r="B35" s="81" t="s">
        <v>2515</v>
      </c>
      <c r="C35" s="4" t="s">
        <v>86</v>
      </c>
      <c r="D35" s="44" t="s">
        <v>86</v>
      </c>
      <c r="E35" s="5" t="s">
        <v>86</v>
      </c>
      <c r="F35" s="5" t="s">
        <v>86</v>
      </c>
      <c r="G35" s="5"/>
      <c r="H35" s="5"/>
      <c r="I35" s="5"/>
      <c r="J35" s="5"/>
      <c r="K35" s="5" t="s">
        <v>86</v>
      </c>
      <c r="L35" s="5" t="s">
        <v>86</v>
      </c>
      <c r="M35" s="31">
        <v>100000</v>
      </c>
      <c r="N35" s="32">
        <v>1</v>
      </c>
      <c r="O35" s="49" t="s">
        <v>2566</v>
      </c>
      <c r="P35" s="89">
        <v>100000</v>
      </c>
      <c r="Q35" s="4">
        <v>44508</v>
      </c>
      <c r="R35" s="90" t="s">
        <v>2571</v>
      </c>
      <c r="S35" s="90"/>
      <c r="T35" s="90"/>
      <c r="U35" s="90"/>
      <c r="V35" s="33" t="s">
        <v>87</v>
      </c>
      <c r="W35" s="33" t="s">
        <v>22</v>
      </c>
      <c r="X35" s="53" t="s">
        <v>2537</v>
      </c>
    </row>
    <row r="36" spans="1:24" ht="22.5" x14ac:dyDescent="0.2">
      <c r="A36" s="2" t="s">
        <v>2516</v>
      </c>
      <c r="B36" s="81" t="s">
        <v>2517</v>
      </c>
      <c r="C36" s="4" t="s">
        <v>86</v>
      </c>
      <c r="D36" s="44" t="s">
        <v>86</v>
      </c>
      <c r="E36" s="5" t="s">
        <v>86</v>
      </c>
      <c r="F36" s="5" t="s">
        <v>86</v>
      </c>
      <c r="G36" s="5"/>
      <c r="H36" s="5"/>
      <c r="I36" s="5"/>
      <c r="J36" s="5"/>
      <c r="K36" s="5" t="s">
        <v>86</v>
      </c>
      <c r="L36" s="5" t="s">
        <v>86</v>
      </c>
      <c r="M36" s="33">
        <v>177786</v>
      </c>
      <c r="N36" s="32">
        <v>1</v>
      </c>
      <c r="O36" s="49" t="s">
        <v>2567</v>
      </c>
      <c r="P36" s="89">
        <v>177786</v>
      </c>
      <c r="Q36" s="94">
        <v>44508</v>
      </c>
      <c r="R36" s="90" t="s">
        <v>699</v>
      </c>
      <c r="S36" s="90"/>
      <c r="T36" s="90"/>
      <c r="U36" s="90"/>
      <c r="V36" s="33" t="s">
        <v>87</v>
      </c>
      <c r="W36" s="33" t="s">
        <v>22</v>
      </c>
      <c r="X36" s="78" t="s">
        <v>436</v>
      </c>
    </row>
    <row r="37" spans="1:24" x14ac:dyDescent="0.2">
      <c r="A37" s="2" t="s">
        <v>2518</v>
      </c>
      <c r="B37" s="81" t="s">
        <v>2519</v>
      </c>
      <c r="C37" s="4" t="s">
        <v>86</v>
      </c>
      <c r="D37" s="44" t="s">
        <v>86</v>
      </c>
      <c r="E37" s="5" t="s">
        <v>86</v>
      </c>
      <c r="F37" s="5" t="s">
        <v>86</v>
      </c>
      <c r="G37" s="5"/>
      <c r="H37" s="5"/>
      <c r="I37" s="5"/>
      <c r="J37" s="5"/>
      <c r="K37" s="5" t="s">
        <v>86</v>
      </c>
      <c r="L37" s="5" t="s">
        <v>86</v>
      </c>
      <c r="M37" s="31">
        <v>60000</v>
      </c>
      <c r="N37" s="32">
        <v>1</v>
      </c>
      <c r="O37" s="49" t="s">
        <v>2568</v>
      </c>
      <c r="P37" s="89">
        <v>60000</v>
      </c>
      <c r="Q37" s="94">
        <v>44508</v>
      </c>
      <c r="R37" s="90" t="s">
        <v>2572</v>
      </c>
      <c r="S37" s="90"/>
      <c r="T37" s="90"/>
      <c r="U37" s="90"/>
      <c r="V37" s="33" t="s">
        <v>87</v>
      </c>
      <c r="W37" s="33" t="s">
        <v>22</v>
      </c>
      <c r="X37" s="53" t="s">
        <v>652</v>
      </c>
    </row>
    <row r="38" spans="1:24" x14ac:dyDescent="0.2">
      <c r="A38" s="2" t="s">
        <v>2520</v>
      </c>
      <c r="B38" s="141" t="s">
        <v>1509</v>
      </c>
      <c r="C38" s="4">
        <v>44498</v>
      </c>
      <c r="D38" s="49" t="s">
        <v>2550</v>
      </c>
      <c r="E38" s="5" t="s">
        <v>2545</v>
      </c>
      <c r="F38" s="49" t="s">
        <v>2561</v>
      </c>
      <c r="G38" s="49" t="s">
        <v>2603</v>
      </c>
      <c r="H38" s="5"/>
      <c r="I38" s="5"/>
      <c r="J38" s="5"/>
      <c r="K38" s="5">
        <v>44523</v>
      </c>
      <c r="L38" s="49" t="s">
        <v>2585</v>
      </c>
      <c r="M38" s="31">
        <f>3297925+3777000+3980375</f>
        <v>11055300</v>
      </c>
      <c r="N38" s="32">
        <v>3</v>
      </c>
      <c r="O38" s="49" t="s">
        <v>2633</v>
      </c>
      <c r="P38" s="89">
        <v>3297925</v>
      </c>
      <c r="Q38" s="94">
        <v>44571</v>
      </c>
      <c r="R38" s="90" t="s">
        <v>2627</v>
      </c>
      <c r="S38" s="90"/>
      <c r="T38" s="90"/>
      <c r="U38" s="90"/>
      <c r="V38" s="33" t="s">
        <v>72</v>
      </c>
      <c r="W38" s="33" t="s">
        <v>24</v>
      </c>
      <c r="X38" s="53"/>
    </row>
    <row r="39" spans="1:24" ht="22.5" x14ac:dyDescent="0.2">
      <c r="A39" s="2" t="s">
        <v>2521</v>
      </c>
      <c r="B39" s="81" t="s">
        <v>2522</v>
      </c>
      <c r="C39" s="4" t="s">
        <v>86</v>
      </c>
      <c r="D39" s="44" t="s">
        <v>86</v>
      </c>
      <c r="E39" s="5" t="s">
        <v>86</v>
      </c>
      <c r="F39" s="5" t="s">
        <v>86</v>
      </c>
      <c r="G39" s="5"/>
      <c r="H39" s="5"/>
      <c r="I39" s="5"/>
      <c r="J39" s="5"/>
      <c r="K39" s="5" t="s">
        <v>86</v>
      </c>
      <c r="L39" s="5" t="s">
        <v>86</v>
      </c>
      <c r="M39" s="31">
        <v>66689</v>
      </c>
      <c r="N39" s="32">
        <v>1</v>
      </c>
      <c r="O39" s="49" t="s">
        <v>2569</v>
      </c>
      <c r="P39" s="89">
        <v>66689</v>
      </c>
      <c r="Q39" s="94">
        <v>44508</v>
      </c>
      <c r="R39" s="90" t="s">
        <v>2573</v>
      </c>
      <c r="S39" s="90"/>
      <c r="T39" s="90"/>
      <c r="U39" s="90"/>
      <c r="V39" s="33" t="s">
        <v>87</v>
      </c>
      <c r="W39" s="33" t="s">
        <v>22</v>
      </c>
      <c r="X39" s="53" t="s">
        <v>140</v>
      </c>
    </row>
    <row r="40" spans="1:24" ht="22.5" x14ac:dyDescent="0.2">
      <c r="A40" s="2" t="s">
        <v>2541</v>
      </c>
      <c r="B40" s="81" t="s">
        <v>2543</v>
      </c>
      <c r="C40" s="4" t="s">
        <v>86</v>
      </c>
      <c r="D40" s="44" t="s">
        <v>86</v>
      </c>
      <c r="E40" s="5" t="s">
        <v>86</v>
      </c>
      <c r="F40" s="5" t="s">
        <v>86</v>
      </c>
      <c r="G40" s="5"/>
      <c r="H40" s="5"/>
      <c r="I40" s="5"/>
      <c r="J40" s="5"/>
      <c r="K40" s="5" t="s">
        <v>86</v>
      </c>
      <c r="L40" s="5" t="s">
        <v>86</v>
      </c>
      <c r="M40" s="31">
        <v>51799.29</v>
      </c>
      <c r="N40" s="32">
        <v>1</v>
      </c>
      <c r="O40" s="49" t="s">
        <v>2570</v>
      </c>
      <c r="P40" s="89">
        <v>51799.29</v>
      </c>
      <c r="Q40" s="94">
        <v>44508</v>
      </c>
      <c r="R40" s="90" t="s">
        <v>2574</v>
      </c>
      <c r="S40" s="90"/>
      <c r="T40" s="90"/>
      <c r="U40" s="90"/>
      <c r="V40" s="33" t="s">
        <v>87</v>
      </c>
      <c r="W40" s="33" t="s">
        <v>22</v>
      </c>
      <c r="X40" s="53" t="s">
        <v>521</v>
      </c>
    </row>
    <row r="41" spans="1:24" x14ac:dyDescent="0.2">
      <c r="A41" s="2" t="s">
        <v>2553</v>
      </c>
      <c r="B41" s="81" t="s">
        <v>2554</v>
      </c>
      <c r="C41" s="5" t="s">
        <v>86</v>
      </c>
      <c r="D41" s="44" t="s">
        <v>86</v>
      </c>
      <c r="E41" s="3" t="s">
        <v>2629</v>
      </c>
      <c r="F41" s="49" t="s">
        <v>2634</v>
      </c>
      <c r="G41" s="5"/>
      <c r="H41" s="5"/>
      <c r="I41" s="5"/>
      <c r="J41" s="5"/>
      <c r="K41" s="4">
        <v>44574</v>
      </c>
      <c r="L41" s="126" t="s">
        <v>86</v>
      </c>
      <c r="M41" s="31"/>
      <c r="N41" s="32"/>
      <c r="O41" s="49"/>
      <c r="P41" s="89"/>
      <c r="Q41" s="94"/>
      <c r="R41" s="90"/>
      <c r="S41" s="90"/>
      <c r="T41" s="90"/>
      <c r="U41" s="90"/>
      <c r="V41" s="33" t="s">
        <v>72</v>
      </c>
      <c r="W41" s="33" t="s">
        <v>23</v>
      </c>
      <c r="X41" s="53"/>
    </row>
    <row r="42" spans="1:24" ht="22.5" x14ac:dyDescent="0.2">
      <c r="A42" s="2" t="s">
        <v>2556</v>
      </c>
      <c r="B42" s="81" t="s">
        <v>2558</v>
      </c>
      <c r="C42" s="5" t="s">
        <v>86</v>
      </c>
      <c r="D42" s="5" t="s">
        <v>86</v>
      </c>
      <c r="E42" s="5" t="s">
        <v>86</v>
      </c>
      <c r="F42" s="5" t="s">
        <v>86</v>
      </c>
      <c r="G42" s="49"/>
      <c r="H42" s="5"/>
      <c r="I42" s="5"/>
      <c r="J42" s="5"/>
      <c r="K42" s="5" t="s">
        <v>86</v>
      </c>
      <c r="L42" s="5" t="s">
        <v>86</v>
      </c>
      <c r="M42" s="33">
        <v>540000</v>
      </c>
      <c r="N42" s="32">
        <v>1</v>
      </c>
      <c r="O42" s="49" t="s">
        <v>2614</v>
      </c>
      <c r="P42" s="89">
        <v>540000</v>
      </c>
      <c r="Q42" s="94">
        <v>44543</v>
      </c>
      <c r="R42" s="90" t="s">
        <v>2608</v>
      </c>
      <c r="S42" s="90"/>
      <c r="T42" s="90"/>
      <c r="U42" s="90"/>
      <c r="V42" s="33" t="s">
        <v>87</v>
      </c>
      <c r="W42" s="33" t="s">
        <v>23</v>
      </c>
      <c r="X42" s="53" t="s">
        <v>2557</v>
      </c>
    </row>
    <row r="43" spans="1:24" ht="22.5" x14ac:dyDescent="0.2">
      <c r="A43" s="2" t="s">
        <v>2578</v>
      </c>
      <c r="B43" s="81" t="s">
        <v>2582</v>
      </c>
      <c r="C43" s="5" t="s">
        <v>86</v>
      </c>
      <c r="D43" s="44" t="s">
        <v>86</v>
      </c>
      <c r="E43" s="5" t="s">
        <v>86</v>
      </c>
      <c r="F43" s="5" t="s">
        <v>86</v>
      </c>
      <c r="G43" s="49"/>
      <c r="H43" s="49"/>
      <c r="I43" s="49"/>
      <c r="J43" s="49"/>
      <c r="K43" s="5" t="s">
        <v>86</v>
      </c>
      <c r="L43" s="5" t="s">
        <v>86</v>
      </c>
      <c r="M43" s="33">
        <v>80000</v>
      </c>
      <c r="N43" s="32">
        <v>1</v>
      </c>
      <c r="O43" s="49" t="s">
        <v>2615</v>
      </c>
      <c r="P43" s="89">
        <v>80000</v>
      </c>
      <c r="Q43" s="94">
        <v>44543</v>
      </c>
      <c r="R43" s="90" t="s">
        <v>2609</v>
      </c>
      <c r="S43" s="90"/>
      <c r="T43" s="90"/>
      <c r="U43" s="90"/>
      <c r="V43" s="33" t="s">
        <v>87</v>
      </c>
      <c r="W43" s="33" t="s">
        <v>23</v>
      </c>
      <c r="X43" s="53" t="s">
        <v>2579</v>
      </c>
    </row>
    <row r="44" spans="1:24" ht="22.5" x14ac:dyDescent="0.2">
      <c r="A44" s="2" t="s">
        <v>2587</v>
      </c>
      <c r="B44" s="81" t="s">
        <v>2597</v>
      </c>
      <c r="C44" s="3" t="s">
        <v>86</v>
      </c>
      <c r="D44" s="44" t="s">
        <v>86</v>
      </c>
      <c r="E44" s="5" t="s">
        <v>86</v>
      </c>
      <c r="F44" s="5" t="s">
        <v>86</v>
      </c>
      <c r="G44" s="3"/>
      <c r="H44" s="3"/>
      <c r="I44" s="49"/>
      <c r="J44" s="3"/>
      <c r="K44" s="4" t="s">
        <v>86</v>
      </c>
      <c r="L44" s="5" t="s">
        <v>86</v>
      </c>
      <c r="M44" s="33"/>
      <c r="N44" s="32"/>
      <c r="O44" s="49"/>
      <c r="P44" s="89"/>
      <c r="Q44" s="94"/>
      <c r="R44" s="90"/>
      <c r="S44" s="90"/>
      <c r="T44" s="90"/>
      <c r="U44" s="90"/>
      <c r="V44" s="33" t="s">
        <v>87</v>
      </c>
      <c r="W44" s="33" t="s">
        <v>22</v>
      </c>
      <c r="X44" s="53" t="s">
        <v>2588</v>
      </c>
    </row>
    <row r="45" spans="1:24" ht="22.5" x14ac:dyDescent="0.2">
      <c r="A45" s="2" t="s">
        <v>2589</v>
      </c>
      <c r="B45" s="81" t="s">
        <v>2590</v>
      </c>
      <c r="C45" s="3" t="s">
        <v>86</v>
      </c>
      <c r="D45" s="44" t="s">
        <v>86</v>
      </c>
      <c r="E45" s="5" t="s">
        <v>86</v>
      </c>
      <c r="F45" s="5" t="s">
        <v>86</v>
      </c>
      <c r="G45" s="5"/>
      <c r="H45" s="49"/>
      <c r="I45" s="5"/>
      <c r="J45" s="5"/>
      <c r="K45" s="5" t="s">
        <v>86</v>
      </c>
      <c r="L45" s="5" t="s">
        <v>86</v>
      </c>
      <c r="M45" s="31">
        <f>119236+74691</f>
        <v>193927</v>
      </c>
      <c r="N45" s="32">
        <v>1</v>
      </c>
      <c r="O45" s="49" t="s">
        <v>2616</v>
      </c>
      <c r="P45" s="95">
        <f>119236+74691</f>
        <v>193927</v>
      </c>
      <c r="Q45" s="94">
        <v>44543</v>
      </c>
      <c r="R45" s="90" t="s">
        <v>731</v>
      </c>
      <c r="S45" s="90" t="s">
        <v>2610</v>
      </c>
      <c r="T45" s="90"/>
      <c r="U45" s="90"/>
      <c r="V45" s="33" t="s">
        <v>87</v>
      </c>
      <c r="W45" s="33" t="s">
        <v>24</v>
      </c>
      <c r="X45" s="78" t="s">
        <v>2211</v>
      </c>
    </row>
    <row r="46" spans="1:24" ht="22.5" x14ac:dyDescent="0.2">
      <c r="A46" s="2" t="s">
        <v>2591</v>
      </c>
      <c r="B46" s="81" t="s">
        <v>2592</v>
      </c>
      <c r="C46" s="5" t="s">
        <v>86</v>
      </c>
      <c r="D46" s="44" t="s">
        <v>86</v>
      </c>
      <c r="E46" s="5" t="s">
        <v>86</v>
      </c>
      <c r="F46" s="5" t="s">
        <v>86</v>
      </c>
      <c r="G46" s="5"/>
      <c r="H46" s="49"/>
      <c r="I46" s="5"/>
      <c r="J46" s="5"/>
      <c r="K46" s="5" t="s">
        <v>86</v>
      </c>
      <c r="L46" s="5" t="s">
        <v>86</v>
      </c>
      <c r="M46" s="31">
        <v>259570</v>
      </c>
      <c r="N46" s="32">
        <v>1</v>
      </c>
      <c r="O46" s="49" t="s">
        <v>2635</v>
      </c>
      <c r="P46" s="89">
        <v>259570</v>
      </c>
      <c r="Q46" s="94">
        <v>44543</v>
      </c>
      <c r="R46" s="90" t="s">
        <v>2368</v>
      </c>
      <c r="S46" s="90"/>
      <c r="T46" s="90"/>
      <c r="U46" s="90"/>
      <c r="V46" s="33" t="s">
        <v>87</v>
      </c>
      <c r="W46" s="33" t="s">
        <v>22</v>
      </c>
      <c r="X46" s="53" t="s">
        <v>814</v>
      </c>
    </row>
    <row r="47" spans="1:24" ht="22.5" x14ac:dyDescent="0.2">
      <c r="A47" s="2" t="s">
        <v>2593</v>
      </c>
      <c r="B47" s="81" t="s">
        <v>2594</v>
      </c>
      <c r="C47" s="5" t="s">
        <v>86</v>
      </c>
      <c r="D47" s="44" t="s">
        <v>86</v>
      </c>
      <c r="E47" s="5" t="s">
        <v>86</v>
      </c>
      <c r="F47" s="5" t="s">
        <v>86</v>
      </c>
      <c r="G47" s="5"/>
      <c r="H47" s="49"/>
      <c r="I47" s="5"/>
      <c r="J47" s="5"/>
      <c r="K47" s="5" t="s">
        <v>86</v>
      </c>
      <c r="L47" s="5" t="s">
        <v>86</v>
      </c>
      <c r="M47" s="33">
        <v>75410</v>
      </c>
      <c r="N47" s="32">
        <v>1</v>
      </c>
      <c r="O47" s="49" t="s">
        <v>2617</v>
      </c>
      <c r="P47" s="89">
        <v>75410</v>
      </c>
      <c r="Q47" s="94">
        <v>44543</v>
      </c>
      <c r="R47" s="90" t="s">
        <v>2611</v>
      </c>
      <c r="S47" s="90"/>
      <c r="T47" s="90"/>
      <c r="U47" s="90"/>
      <c r="V47" s="33" t="s">
        <v>87</v>
      </c>
      <c r="W47" s="33" t="s">
        <v>22</v>
      </c>
      <c r="X47" s="53" t="s">
        <v>88</v>
      </c>
    </row>
    <row r="48" spans="1:24" x14ac:dyDescent="0.2">
      <c r="A48" s="2" t="s">
        <v>2595</v>
      </c>
      <c r="B48" s="81" t="s">
        <v>2596</v>
      </c>
      <c r="C48" s="5">
        <v>44571</v>
      </c>
      <c r="D48" s="49" t="s">
        <v>2664</v>
      </c>
      <c r="E48" s="5" t="s">
        <v>2660</v>
      </c>
      <c r="F48" s="49" t="s">
        <v>2665</v>
      </c>
      <c r="G48" s="3"/>
      <c r="H48" s="3"/>
      <c r="I48" s="3"/>
      <c r="J48" s="3"/>
      <c r="K48" s="4">
        <v>44621</v>
      </c>
      <c r="L48" s="5"/>
      <c r="M48" s="33"/>
      <c r="N48" s="32"/>
      <c r="O48" s="49"/>
      <c r="P48" s="89"/>
      <c r="Q48" s="4"/>
      <c r="R48" s="91"/>
      <c r="S48" s="91"/>
      <c r="T48" s="91"/>
      <c r="U48" s="91"/>
      <c r="V48" s="33" t="s">
        <v>72</v>
      </c>
      <c r="W48" s="33" t="s">
        <v>24</v>
      </c>
      <c r="X48" s="53"/>
    </row>
    <row r="49" spans="1:24" ht="22.5" x14ac:dyDescent="0.2">
      <c r="A49" s="2" t="s">
        <v>2598</v>
      </c>
      <c r="B49" s="81" t="s">
        <v>2505</v>
      </c>
      <c r="C49" s="3" t="s">
        <v>86</v>
      </c>
      <c r="D49" s="2" t="s">
        <v>86</v>
      </c>
      <c r="E49" s="3" t="s">
        <v>86</v>
      </c>
      <c r="F49" s="5" t="s">
        <v>86</v>
      </c>
      <c r="G49" s="3"/>
      <c r="H49" s="3"/>
      <c r="I49" s="3"/>
      <c r="J49" s="3"/>
      <c r="K49" s="5" t="s">
        <v>86</v>
      </c>
      <c r="L49" s="5" t="s">
        <v>86</v>
      </c>
      <c r="M49" s="31">
        <v>191994</v>
      </c>
      <c r="N49" s="32">
        <v>1</v>
      </c>
      <c r="O49" s="49" t="s">
        <v>2618</v>
      </c>
      <c r="P49" s="89">
        <v>191994</v>
      </c>
      <c r="Q49" s="94">
        <v>44543</v>
      </c>
      <c r="R49" s="90" t="s">
        <v>2526</v>
      </c>
      <c r="S49" s="90"/>
      <c r="T49" s="90"/>
      <c r="U49" s="90"/>
      <c r="V49" s="33" t="s">
        <v>87</v>
      </c>
      <c r="W49" s="33" t="s">
        <v>22</v>
      </c>
      <c r="X49" s="53" t="s">
        <v>88</v>
      </c>
    </row>
    <row r="50" spans="1:24" ht="22.5" x14ac:dyDescent="0.2">
      <c r="A50" s="2" t="s">
        <v>2599</v>
      </c>
      <c r="B50" s="81" t="s">
        <v>2600</v>
      </c>
      <c r="C50" s="5" t="s">
        <v>86</v>
      </c>
      <c r="D50" s="44" t="s">
        <v>86</v>
      </c>
      <c r="E50" s="3" t="s">
        <v>86</v>
      </c>
      <c r="F50" s="5" t="s">
        <v>86</v>
      </c>
      <c r="G50" s="4"/>
      <c r="H50" s="4"/>
      <c r="I50" s="4"/>
      <c r="J50" s="4"/>
      <c r="K50" s="4" t="s">
        <v>86</v>
      </c>
      <c r="L50" s="5" t="s">
        <v>86</v>
      </c>
      <c r="M50" s="31">
        <v>158276.68</v>
      </c>
      <c r="N50" s="32">
        <v>1</v>
      </c>
      <c r="O50" s="49" t="s">
        <v>2619</v>
      </c>
      <c r="P50" s="89">
        <v>158276.68</v>
      </c>
      <c r="Q50" s="94">
        <v>44543</v>
      </c>
      <c r="R50" s="90" t="s">
        <v>2528</v>
      </c>
      <c r="S50" s="90"/>
      <c r="T50" s="90"/>
      <c r="U50" s="90"/>
      <c r="V50" s="33" t="s">
        <v>87</v>
      </c>
      <c r="W50" s="33" t="s">
        <v>22</v>
      </c>
      <c r="X50" s="53" t="s">
        <v>90</v>
      </c>
    </row>
    <row r="51" spans="1:24" ht="22.5" x14ac:dyDescent="0.2">
      <c r="A51" s="2" t="s">
        <v>2621</v>
      </c>
      <c r="B51" s="81" t="s">
        <v>2623</v>
      </c>
      <c r="C51" s="3" t="s">
        <v>86</v>
      </c>
      <c r="D51" s="2" t="s">
        <v>86</v>
      </c>
      <c r="E51" s="3" t="s">
        <v>86</v>
      </c>
      <c r="F51" s="5" t="s">
        <v>86</v>
      </c>
      <c r="G51" s="47"/>
      <c r="H51" s="4"/>
      <c r="I51" s="4"/>
      <c r="J51" s="4"/>
      <c r="K51" s="5" t="s">
        <v>86</v>
      </c>
      <c r="L51" s="5" t="s">
        <v>86</v>
      </c>
      <c r="M51" s="31">
        <v>588394</v>
      </c>
      <c r="N51" s="32">
        <v>1</v>
      </c>
      <c r="O51" s="49" t="s">
        <v>2636</v>
      </c>
      <c r="P51" s="89">
        <v>588394</v>
      </c>
      <c r="Q51" s="4">
        <v>44571</v>
      </c>
      <c r="R51" s="90" t="s">
        <v>2628</v>
      </c>
      <c r="S51" s="90"/>
      <c r="T51" s="90"/>
      <c r="U51" s="90"/>
      <c r="V51" s="33" t="s">
        <v>87</v>
      </c>
      <c r="W51" s="33" t="s">
        <v>22</v>
      </c>
      <c r="X51" s="53" t="s">
        <v>99</v>
      </c>
    </row>
    <row r="52" spans="1:24" ht="22.5" x14ac:dyDescent="0.2">
      <c r="A52" s="2" t="s">
        <v>2637</v>
      </c>
      <c r="B52" s="81" t="s">
        <v>2638</v>
      </c>
      <c r="C52" s="3" t="s">
        <v>86</v>
      </c>
      <c r="D52" s="2" t="s">
        <v>86</v>
      </c>
      <c r="E52" s="3" t="s">
        <v>86</v>
      </c>
      <c r="F52" s="5" t="s">
        <v>86</v>
      </c>
      <c r="G52" s="47"/>
      <c r="H52" s="4"/>
      <c r="I52" s="4"/>
      <c r="J52" s="4"/>
      <c r="K52" s="5" t="s">
        <v>86</v>
      </c>
      <c r="L52" s="5" t="s">
        <v>86</v>
      </c>
      <c r="M52" s="31">
        <v>682719.05</v>
      </c>
      <c r="N52" s="32">
        <v>1</v>
      </c>
      <c r="O52" s="49" t="s">
        <v>2666</v>
      </c>
      <c r="P52" s="89">
        <v>682719.05</v>
      </c>
      <c r="Q52" s="4">
        <v>44585</v>
      </c>
      <c r="R52" s="90" t="s">
        <v>2652</v>
      </c>
      <c r="S52" s="90"/>
      <c r="T52" s="90"/>
      <c r="U52" s="90"/>
      <c r="V52" s="33" t="s">
        <v>87</v>
      </c>
      <c r="W52" s="33" t="s">
        <v>24</v>
      </c>
      <c r="X52" s="53" t="s">
        <v>2452</v>
      </c>
    </row>
    <row r="53" spans="1:24" x14ac:dyDescent="0.2">
      <c r="A53" s="2" t="s">
        <v>2639</v>
      </c>
      <c r="B53" s="81" t="s">
        <v>2640</v>
      </c>
      <c r="C53" s="4"/>
      <c r="D53" s="47"/>
      <c r="E53" s="3"/>
      <c r="F53" s="47"/>
      <c r="G53" s="3"/>
      <c r="H53" s="3"/>
      <c r="I53" s="3"/>
      <c r="J53" s="3"/>
      <c r="K53" s="5"/>
      <c r="L53" s="50"/>
      <c r="M53" s="31"/>
      <c r="N53" s="32"/>
      <c r="O53" s="47"/>
      <c r="P53" s="89"/>
      <c r="Q53" s="4"/>
      <c r="R53" s="90"/>
      <c r="S53" s="90"/>
      <c r="T53" s="90"/>
      <c r="U53" s="90"/>
      <c r="V53" s="33"/>
      <c r="W53" s="33"/>
      <c r="X53" s="53"/>
    </row>
    <row r="54" spans="1:24" ht="22.5" x14ac:dyDescent="0.2">
      <c r="A54" s="2" t="s">
        <v>2641</v>
      </c>
      <c r="B54" s="81" t="s">
        <v>2648</v>
      </c>
      <c r="C54" s="4" t="s">
        <v>86</v>
      </c>
      <c r="D54" s="2" t="s">
        <v>86</v>
      </c>
      <c r="E54" s="3" t="s">
        <v>86</v>
      </c>
      <c r="F54" s="5" t="s">
        <v>86</v>
      </c>
      <c r="G54" s="47"/>
      <c r="H54" s="4"/>
      <c r="I54" s="4"/>
      <c r="J54" s="4"/>
      <c r="K54" s="5" t="s">
        <v>86</v>
      </c>
      <c r="L54" s="5" t="s">
        <v>86</v>
      </c>
      <c r="M54" s="31">
        <v>74430.600000000006</v>
      </c>
      <c r="N54" s="32">
        <v>1</v>
      </c>
      <c r="O54" s="49" t="s">
        <v>2667</v>
      </c>
      <c r="P54" s="89">
        <v>74430.600000000006</v>
      </c>
      <c r="Q54" s="4">
        <v>44585</v>
      </c>
      <c r="R54" s="90" t="s">
        <v>2649</v>
      </c>
      <c r="S54" s="90"/>
      <c r="T54" s="90"/>
      <c r="U54" s="90"/>
      <c r="V54" s="33" t="s">
        <v>87</v>
      </c>
      <c r="W54" s="33" t="s">
        <v>22</v>
      </c>
      <c r="X54" s="53" t="s">
        <v>2588</v>
      </c>
    </row>
    <row r="55" spans="1:24" ht="22.5" x14ac:dyDescent="0.2">
      <c r="A55" s="2" t="s">
        <v>2644</v>
      </c>
      <c r="B55" s="81" t="s">
        <v>2650</v>
      </c>
      <c r="C55" s="4" t="s">
        <v>86</v>
      </c>
      <c r="D55" s="2" t="s">
        <v>86</v>
      </c>
      <c r="E55" s="3" t="s">
        <v>86</v>
      </c>
      <c r="F55" s="5" t="s">
        <v>86</v>
      </c>
      <c r="G55" s="47"/>
      <c r="H55" s="4"/>
      <c r="I55" s="4"/>
      <c r="J55" s="4"/>
      <c r="K55" s="5" t="s">
        <v>86</v>
      </c>
      <c r="L55" s="5" t="s">
        <v>86</v>
      </c>
      <c r="M55" s="31">
        <v>141600</v>
      </c>
      <c r="N55" s="32">
        <v>1</v>
      </c>
      <c r="O55" s="49" t="s">
        <v>2668</v>
      </c>
      <c r="P55" s="89">
        <v>141600</v>
      </c>
      <c r="Q55" s="4">
        <v>44585</v>
      </c>
      <c r="R55" s="90" t="s">
        <v>2651</v>
      </c>
      <c r="S55" s="90"/>
      <c r="T55" s="90"/>
      <c r="U55" s="90"/>
      <c r="V55" s="33" t="s">
        <v>87</v>
      </c>
      <c r="W55" s="33" t="s">
        <v>22</v>
      </c>
      <c r="X55" s="78" t="s">
        <v>140</v>
      </c>
    </row>
    <row r="56" spans="1:24" x14ac:dyDescent="0.2">
      <c r="A56" s="2" t="s">
        <v>2645</v>
      </c>
      <c r="B56" s="81" t="s">
        <v>2661</v>
      </c>
      <c r="C56" s="4" t="s">
        <v>86</v>
      </c>
      <c r="D56" s="2" t="s">
        <v>86</v>
      </c>
      <c r="E56" s="3" t="s">
        <v>2662</v>
      </c>
      <c r="F56" s="49" t="s">
        <v>2669</v>
      </c>
      <c r="G56" s="49"/>
      <c r="H56" s="49"/>
      <c r="I56" s="4"/>
      <c r="J56" s="4"/>
      <c r="K56" s="4">
        <v>44601</v>
      </c>
      <c r="L56" s="49"/>
      <c r="M56" s="31"/>
      <c r="N56" s="32"/>
      <c r="O56" s="49"/>
      <c r="P56" s="89"/>
      <c r="Q56" s="4"/>
      <c r="R56" s="90"/>
      <c r="S56" s="90"/>
      <c r="T56" s="90"/>
      <c r="U56" s="90"/>
      <c r="V56" s="33" t="s">
        <v>72</v>
      </c>
      <c r="W56" s="33" t="s">
        <v>23</v>
      </c>
      <c r="X56" s="53"/>
    </row>
    <row r="57" spans="1:24" ht="22.5" x14ac:dyDescent="0.2">
      <c r="A57" s="2" t="s">
        <v>2653</v>
      </c>
      <c r="B57" s="81" t="s">
        <v>2654</v>
      </c>
      <c r="C57" s="4" t="s">
        <v>86</v>
      </c>
      <c r="D57" s="2" t="s">
        <v>86</v>
      </c>
      <c r="E57" s="3" t="s">
        <v>86</v>
      </c>
      <c r="F57" s="5" t="s">
        <v>86</v>
      </c>
      <c r="G57" s="47"/>
      <c r="H57" s="4"/>
      <c r="I57" s="4"/>
      <c r="J57" s="4"/>
      <c r="K57" s="5" t="s">
        <v>86</v>
      </c>
      <c r="L57" s="5" t="s">
        <v>86</v>
      </c>
      <c r="M57" s="31"/>
      <c r="N57" s="32"/>
      <c r="O57" s="47"/>
      <c r="P57" s="89"/>
      <c r="Q57" s="4"/>
      <c r="R57" s="90"/>
      <c r="S57" s="90"/>
      <c r="T57" s="90"/>
      <c r="U57" s="90"/>
      <c r="V57" s="33" t="s">
        <v>87</v>
      </c>
      <c r="W57" s="33" t="s">
        <v>24</v>
      </c>
      <c r="X57" s="53" t="s">
        <v>384</v>
      </c>
    </row>
    <row r="58" spans="1:24" ht="22.5" x14ac:dyDescent="0.2">
      <c r="A58" s="2" t="s">
        <v>2655</v>
      </c>
      <c r="B58" s="81" t="s">
        <v>2656</v>
      </c>
      <c r="C58" s="4" t="s">
        <v>86</v>
      </c>
      <c r="D58" s="2" t="s">
        <v>86</v>
      </c>
      <c r="E58" s="3" t="s">
        <v>86</v>
      </c>
      <c r="F58" s="5" t="s">
        <v>86</v>
      </c>
      <c r="G58" s="47"/>
      <c r="H58" s="4"/>
      <c r="I58" s="4"/>
      <c r="J58" s="4"/>
      <c r="K58" s="5" t="s">
        <v>86</v>
      </c>
      <c r="L58" s="5" t="s">
        <v>86</v>
      </c>
      <c r="M58" s="31"/>
      <c r="N58" s="32"/>
      <c r="O58" s="49"/>
      <c r="P58" s="89"/>
      <c r="Q58" s="4"/>
      <c r="R58" s="90"/>
      <c r="S58" s="90"/>
      <c r="T58" s="90"/>
      <c r="U58" s="90"/>
      <c r="V58" s="33" t="s">
        <v>87</v>
      </c>
      <c r="W58" s="33" t="s">
        <v>24</v>
      </c>
      <c r="X58" s="53" t="s">
        <v>2452</v>
      </c>
    </row>
    <row r="59" spans="1:24" ht="33.75" x14ac:dyDescent="0.2">
      <c r="A59" s="2" t="s">
        <v>2657</v>
      </c>
      <c r="B59" s="81" t="s">
        <v>2658</v>
      </c>
      <c r="C59" s="4" t="s">
        <v>86</v>
      </c>
      <c r="D59" s="2" t="s">
        <v>86</v>
      </c>
      <c r="E59" s="3" t="s">
        <v>86</v>
      </c>
      <c r="F59" s="5" t="s">
        <v>86</v>
      </c>
      <c r="G59" s="47"/>
      <c r="H59" s="4"/>
      <c r="I59" s="4"/>
      <c r="J59" s="4"/>
      <c r="K59" s="5" t="s">
        <v>86</v>
      </c>
      <c r="L59" s="5" t="s">
        <v>86</v>
      </c>
      <c r="M59" s="31"/>
      <c r="N59" s="32"/>
      <c r="O59" s="49"/>
      <c r="P59" s="89"/>
      <c r="Q59" s="4"/>
      <c r="R59" s="90"/>
      <c r="S59" s="90"/>
      <c r="T59" s="90"/>
      <c r="U59" s="90"/>
      <c r="V59" s="33" t="s">
        <v>87</v>
      </c>
      <c r="W59" s="33" t="s">
        <v>22</v>
      </c>
      <c r="X59" s="78" t="s">
        <v>2659</v>
      </c>
    </row>
    <row r="60" spans="1:24" x14ac:dyDescent="0.2">
      <c r="A60" s="2"/>
      <c r="B60" s="81"/>
      <c r="C60" s="96"/>
      <c r="D60" s="2"/>
      <c r="E60" s="3"/>
      <c r="F60" s="3"/>
      <c r="G60" s="4"/>
      <c r="H60" s="4"/>
      <c r="I60" s="4"/>
      <c r="J60" s="4"/>
      <c r="K60" s="3"/>
      <c r="L60" s="3"/>
      <c r="M60" s="31"/>
      <c r="N60" s="32"/>
      <c r="O60" s="49"/>
      <c r="P60" s="89"/>
      <c r="Q60" s="4"/>
      <c r="R60" s="90"/>
      <c r="S60" s="90"/>
      <c r="T60" s="90"/>
      <c r="U60" s="90"/>
      <c r="V60" s="33"/>
      <c r="W60" s="33"/>
      <c r="X60" s="53"/>
    </row>
    <row r="61" spans="1:24" x14ac:dyDescent="0.2">
      <c r="A61" s="2"/>
      <c r="B61" s="81"/>
      <c r="C61" s="96"/>
      <c r="D61" s="2"/>
      <c r="E61" s="3"/>
      <c r="F61" s="3"/>
      <c r="G61" s="4"/>
      <c r="H61" s="4"/>
      <c r="I61" s="4"/>
      <c r="J61" s="4"/>
      <c r="K61" s="3"/>
      <c r="L61" s="3"/>
      <c r="M61" s="31"/>
      <c r="N61" s="32"/>
      <c r="O61" s="49"/>
      <c r="P61" s="89"/>
      <c r="Q61" s="4"/>
      <c r="R61" s="90"/>
      <c r="S61" s="90"/>
      <c r="T61" s="90"/>
      <c r="U61" s="90"/>
      <c r="V61" s="33"/>
      <c r="W61" s="33"/>
      <c r="X61" s="53"/>
    </row>
    <row r="62" spans="1:24" x14ac:dyDescent="0.2">
      <c r="A62" s="2"/>
      <c r="B62" s="81"/>
      <c r="C62" s="4"/>
      <c r="D62" s="2"/>
      <c r="E62" s="3"/>
      <c r="F62" s="4"/>
      <c r="G62" s="47"/>
      <c r="H62" s="47"/>
      <c r="I62" s="4"/>
      <c r="J62" s="4"/>
      <c r="K62" s="4"/>
      <c r="L62" s="5"/>
      <c r="M62" s="31"/>
      <c r="N62" s="32"/>
      <c r="O62" s="49"/>
      <c r="P62" s="89"/>
      <c r="Q62" s="4"/>
      <c r="R62" s="90"/>
      <c r="S62" s="90"/>
      <c r="T62" s="90"/>
      <c r="U62" s="90"/>
      <c r="V62" s="33"/>
      <c r="W62" s="33"/>
      <c r="X62" s="53"/>
    </row>
    <row r="63" spans="1:24" x14ac:dyDescent="0.2">
      <c r="A63" s="2"/>
      <c r="B63" s="81"/>
      <c r="C63" s="96"/>
      <c r="D63" s="2"/>
      <c r="E63" s="3"/>
      <c r="F63" s="4"/>
      <c r="G63" s="47"/>
      <c r="H63" s="47"/>
      <c r="I63" s="4"/>
      <c r="J63" s="4"/>
      <c r="K63" s="4"/>
      <c r="L63" s="5"/>
      <c r="M63" s="31"/>
      <c r="N63" s="32"/>
      <c r="O63" s="49"/>
      <c r="P63" s="89"/>
      <c r="Q63" s="94"/>
      <c r="R63" s="90"/>
      <c r="S63" s="90"/>
      <c r="T63" s="90"/>
      <c r="U63" s="90"/>
      <c r="V63" s="33"/>
      <c r="W63" s="33"/>
      <c r="X63" s="53"/>
    </row>
    <row r="64" spans="1:24" x14ac:dyDescent="0.2">
      <c r="A64" s="2"/>
      <c r="B64" s="81"/>
      <c r="C64" s="96"/>
      <c r="D64" s="2"/>
      <c r="E64" s="3"/>
      <c r="F64" s="4"/>
      <c r="G64" s="47"/>
      <c r="H64" s="47"/>
      <c r="I64" s="4"/>
      <c r="J64" s="4"/>
      <c r="K64" s="4"/>
      <c r="L64" s="5"/>
      <c r="M64" s="31"/>
      <c r="N64" s="32"/>
      <c r="O64" s="49"/>
      <c r="P64" s="89"/>
      <c r="Q64" s="4"/>
      <c r="R64" s="90"/>
      <c r="S64" s="90"/>
      <c r="T64" s="90"/>
      <c r="U64" s="90"/>
      <c r="V64" s="33"/>
      <c r="W64" s="33"/>
      <c r="X64" s="53"/>
    </row>
    <row r="65" spans="1:24" x14ac:dyDescent="0.2">
      <c r="A65" s="2"/>
      <c r="B65" s="81"/>
      <c r="C65" s="4"/>
      <c r="D65" s="49"/>
      <c r="E65" s="3"/>
      <c r="F65" s="49"/>
      <c r="G65" s="50"/>
      <c r="H65" s="50"/>
      <c r="I65" s="3"/>
      <c r="J65" s="3"/>
      <c r="K65" s="4"/>
      <c r="L65" s="49"/>
      <c r="M65" s="31"/>
      <c r="N65" s="32"/>
      <c r="O65" s="47"/>
      <c r="P65" s="89"/>
      <c r="Q65" s="4"/>
      <c r="R65" s="90"/>
      <c r="S65" s="90"/>
      <c r="T65" s="90"/>
      <c r="U65" s="90"/>
      <c r="V65" s="33"/>
      <c r="W65" s="33"/>
      <c r="X65" s="53"/>
    </row>
    <row r="66" spans="1:24" x14ac:dyDescent="0.2">
      <c r="A66" s="2"/>
      <c r="B66" s="81"/>
      <c r="C66" s="3"/>
      <c r="D66" s="2"/>
      <c r="E66" s="3"/>
      <c r="F66" s="49"/>
      <c r="G66" s="49"/>
      <c r="H66" s="50"/>
      <c r="I66" s="50"/>
      <c r="J66" s="50"/>
      <c r="K66" s="4"/>
      <c r="L66" s="49"/>
      <c r="M66" s="31"/>
      <c r="N66" s="32"/>
      <c r="O66" s="47"/>
      <c r="P66" s="89"/>
      <c r="Q66" s="4"/>
      <c r="R66" s="90"/>
      <c r="S66" s="90"/>
      <c r="T66" s="90"/>
      <c r="U66" s="90"/>
      <c r="V66" s="33"/>
      <c r="W66" s="33"/>
      <c r="X66" s="53"/>
    </row>
    <row r="67" spans="1:24" x14ac:dyDescent="0.2">
      <c r="A67" s="2"/>
      <c r="B67" s="81"/>
      <c r="C67" s="4"/>
      <c r="D67" s="2"/>
      <c r="E67" s="3"/>
      <c r="F67" s="3"/>
      <c r="G67" s="49"/>
      <c r="H67" s="50"/>
      <c r="I67" s="5"/>
      <c r="J67" s="5"/>
      <c r="K67" s="4"/>
      <c r="L67" s="5"/>
      <c r="M67" s="31"/>
      <c r="N67" s="32"/>
      <c r="O67" s="49"/>
      <c r="P67" s="89"/>
      <c r="Q67" s="4"/>
      <c r="R67" s="90"/>
      <c r="S67" s="90"/>
      <c r="T67" s="90"/>
      <c r="U67" s="90"/>
      <c r="V67" s="33"/>
      <c r="W67" s="33"/>
      <c r="X67" s="53"/>
    </row>
    <row r="68" spans="1:24" x14ac:dyDescent="0.2">
      <c r="A68" s="2"/>
      <c r="B68" s="81"/>
      <c r="C68" s="4"/>
      <c r="D68" s="44"/>
      <c r="E68" s="3"/>
      <c r="F68" s="3"/>
      <c r="G68" s="49"/>
      <c r="H68" s="50"/>
      <c r="I68" s="5"/>
      <c r="J68" s="5"/>
      <c r="K68" s="4"/>
      <c r="L68" s="5"/>
      <c r="M68" s="31"/>
      <c r="N68" s="32"/>
      <c r="O68" s="49"/>
      <c r="P68" s="89"/>
      <c r="Q68" s="4"/>
      <c r="R68" s="90"/>
      <c r="S68" s="90"/>
      <c r="T68" s="90"/>
      <c r="U68" s="90"/>
      <c r="V68" s="33"/>
      <c r="W68" s="33"/>
      <c r="X68" s="53"/>
    </row>
    <row r="69" spans="1:24" x14ac:dyDescent="0.2">
      <c r="A69" s="2"/>
      <c r="B69" s="81"/>
      <c r="C69" s="4"/>
      <c r="D69" s="44"/>
      <c r="E69" s="3"/>
      <c r="F69" s="3"/>
      <c r="G69" s="5"/>
      <c r="H69" s="50"/>
      <c r="I69" s="5"/>
      <c r="J69" s="5"/>
      <c r="K69" s="4"/>
      <c r="L69" s="5"/>
      <c r="M69" s="31"/>
      <c r="N69" s="32"/>
      <c r="O69" s="50"/>
      <c r="P69" s="89"/>
      <c r="Q69" s="4"/>
      <c r="R69" s="90"/>
      <c r="S69" s="90"/>
      <c r="T69" s="90"/>
      <c r="U69" s="90"/>
      <c r="V69" s="33"/>
      <c r="W69" s="33"/>
      <c r="X69" s="53"/>
    </row>
    <row r="70" spans="1:24" x14ac:dyDescent="0.2">
      <c r="A70" s="2"/>
      <c r="B70" s="81"/>
      <c r="C70" s="4"/>
      <c r="D70" s="50"/>
      <c r="E70" s="3"/>
      <c r="F70" s="50"/>
      <c r="G70" s="5"/>
      <c r="H70" s="4"/>
      <c r="I70" s="4"/>
      <c r="J70" s="4"/>
      <c r="K70" s="4"/>
      <c r="L70" s="49"/>
      <c r="M70" s="31"/>
      <c r="N70" s="32"/>
      <c r="O70" s="50"/>
      <c r="P70" s="89"/>
      <c r="Q70" s="4"/>
      <c r="R70" s="90"/>
      <c r="S70" s="90"/>
      <c r="T70" s="90"/>
      <c r="U70" s="90"/>
      <c r="V70" s="33"/>
      <c r="W70" s="33"/>
      <c r="X70" s="53"/>
    </row>
    <row r="71" spans="1:24" x14ac:dyDescent="0.2">
      <c r="A71" s="2"/>
      <c r="B71" s="81"/>
      <c r="C71" s="4"/>
      <c r="D71" s="2"/>
      <c r="E71" s="3"/>
      <c r="F71" s="3"/>
      <c r="G71" s="5"/>
      <c r="H71" s="50"/>
      <c r="I71" s="5"/>
      <c r="J71" s="5"/>
      <c r="K71" s="4"/>
      <c r="L71" s="5"/>
      <c r="M71" s="31"/>
      <c r="N71" s="32"/>
      <c r="O71" s="50"/>
      <c r="P71" s="89"/>
      <c r="Q71" s="4"/>
      <c r="R71" s="90"/>
      <c r="S71" s="90"/>
      <c r="T71" s="90"/>
      <c r="U71" s="90"/>
      <c r="V71" s="33"/>
      <c r="W71" s="33"/>
      <c r="X71" s="53"/>
    </row>
    <row r="72" spans="1:24" x14ac:dyDescent="0.2">
      <c r="A72" s="2"/>
      <c r="B72" s="81"/>
      <c r="C72" s="4"/>
      <c r="D72" s="5"/>
      <c r="E72" s="3"/>
      <c r="F72" s="3"/>
      <c r="G72" s="5"/>
      <c r="H72" s="5"/>
      <c r="I72" s="5"/>
      <c r="J72" s="5"/>
      <c r="K72" s="4"/>
      <c r="L72" s="5"/>
      <c r="M72" s="31"/>
      <c r="N72" s="32"/>
      <c r="O72" s="50"/>
      <c r="P72" s="89"/>
      <c r="Q72" s="4"/>
      <c r="R72" s="90"/>
      <c r="S72" s="90"/>
      <c r="T72" s="90"/>
      <c r="U72" s="90"/>
      <c r="V72" s="33"/>
      <c r="W72" s="33"/>
      <c r="X72" s="53"/>
    </row>
    <row r="73" spans="1:24" x14ac:dyDescent="0.2">
      <c r="A73" s="2"/>
      <c r="B73" s="81"/>
      <c r="C73" s="4"/>
      <c r="D73" s="44"/>
      <c r="E73" s="3"/>
      <c r="F73" s="3"/>
      <c r="G73" s="5"/>
      <c r="H73" s="5"/>
      <c r="I73" s="5"/>
      <c r="J73" s="5"/>
      <c r="K73" s="4"/>
      <c r="L73" s="5"/>
      <c r="M73" s="31"/>
      <c r="N73" s="32"/>
      <c r="O73" s="50"/>
      <c r="P73" s="89"/>
      <c r="Q73" s="4"/>
      <c r="R73" s="90"/>
      <c r="S73" s="90"/>
      <c r="T73" s="90"/>
      <c r="U73" s="90"/>
      <c r="V73" s="33"/>
      <c r="W73" s="33"/>
      <c r="X73" s="53"/>
    </row>
    <row r="74" spans="1:24" x14ac:dyDescent="0.2">
      <c r="A74" s="2"/>
      <c r="B74" s="81"/>
      <c r="C74" s="4"/>
      <c r="D74" s="44"/>
      <c r="E74" s="3"/>
      <c r="F74" s="50"/>
      <c r="G74" s="47"/>
      <c r="H74" s="5"/>
      <c r="I74" s="5"/>
      <c r="J74" s="5"/>
      <c r="K74" s="4"/>
      <c r="L74" s="49"/>
      <c r="M74" s="31"/>
      <c r="N74" s="32"/>
      <c r="O74" s="49"/>
      <c r="P74" s="89"/>
      <c r="Q74" s="4"/>
      <c r="R74" s="90"/>
      <c r="S74" s="90"/>
      <c r="T74" s="90"/>
      <c r="U74" s="90"/>
      <c r="V74" s="33"/>
      <c r="W74" s="33"/>
      <c r="X74" s="53"/>
    </row>
    <row r="75" spans="1:24" x14ac:dyDescent="0.2">
      <c r="A75" s="2"/>
      <c r="B75" s="81"/>
      <c r="C75" s="4"/>
      <c r="D75" s="44"/>
      <c r="E75" s="3"/>
      <c r="F75" s="3"/>
      <c r="G75" s="5"/>
      <c r="H75" s="5"/>
      <c r="I75" s="5"/>
      <c r="J75" s="5"/>
      <c r="K75" s="4"/>
      <c r="L75" s="5"/>
      <c r="M75" s="31"/>
      <c r="N75" s="32"/>
      <c r="O75" s="47"/>
      <c r="P75" s="89"/>
      <c r="Q75" s="4"/>
      <c r="R75" s="90"/>
      <c r="S75" s="90"/>
      <c r="T75" s="90"/>
      <c r="U75" s="90"/>
      <c r="V75" s="33"/>
      <c r="W75" s="33"/>
      <c r="X75" s="53"/>
    </row>
    <row r="76" spans="1:24" x14ac:dyDescent="0.2">
      <c r="A76" s="2"/>
      <c r="B76" s="81"/>
      <c r="C76" s="4"/>
      <c r="D76" s="44"/>
      <c r="E76" s="3"/>
      <c r="F76" s="3"/>
      <c r="G76" s="47"/>
      <c r="H76" s="4"/>
      <c r="I76" s="4"/>
      <c r="J76" s="4"/>
      <c r="K76" s="4"/>
      <c r="L76" s="5"/>
      <c r="M76" s="31"/>
      <c r="N76" s="32"/>
      <c r="O76" s="50"/>
      <c r="P76" s="89"/>
      <c r="Q76" s="4"/>
      <c r="R76" s="90"/>
      <c r="S76" s="90"/>
      <c r="T76" s="90"/>
      <c r="U76" s="90"/>
      <c r="V76" s="33"/>
      <c r="W76" s="33"/>
      <c r="X76" s="53"/>
    </row>
    <row r="77" spans="1:24" x14ac:dyDescent="0.2">
      <c r="A77" s="2"/>
      <c r="B77" s="81"/>
      <c r="C77" s="4"/>
      <c r="D77" s="44"/>
      <c r="E77" s="3"/>
      <c r="F77" s="3"/>
      <c r="G77" s="4"/>
      <c r="H77" s="4"/>
      <c r="I77" s="4"/>
      <c r="J77" s="4"/>
      <c r="K77" s="3"/>
      <c r="L77" s="3"/>
      <c r="M77" s="31"/>
      <c r="N77" s="32"/>
      <c r="O77" s="50"/>
      <c r="P77" s="89"/>
      <c r="Q77" s="4"/>
      <c r="R77" s="90"/>
      <c r="S77" s="90"/>
      <c r="T77" s="90"/>
      <c r="U77" s="90"/>
      <c r="V77" s="33"/>
      <c r="W77" s="33"/>
      <c r="X77" s="53"/>
    </row>
    <row r="78" spans="1:24" x14ac:dyDescent="0.2">
      <c r="A78" s="2"/>
      <c r="B78" s="81"/>
      <c r="C78" s="4"/>
      <c r="D78" s="5"/>
      <c r="E78" s="3"/>
      <c r="F78" s="3"/>
      <c r="G78" s="49"/>
      <c r="H78" s="5"/>
      <c r="I78" s="5"/>
      <c r="J78" s="5"/>
      <c r="K78" s="3"/>
      <c r="L78" s="3"/>
      <c r="M78" s="31"/>
      <c r="N78" s="32"/>
      <c r="O78" s="50"/>
      <c r="P78" s="89"/>
      <c r="Q78" s="4"/>
      <c r="R78" s="90"/>
      <c r="S78" s="90"/>
      <c r="T78" s="90"/>
      <c r="U78" s="90"/>
      <c r="V78" s="33"/>
      <c r="W78" s="33"/>
      <c r="X78" s="53"/>
    </row>
    <row r="79" spans="1:24" x14ac:dyDescent="0.2">
      <c r="A79" s="2"/>
      <c r="B79" s="81"/>
      <c r="C79" s="4"/>
      <c r="D79" s="47"/>
      <c r="E79" s="3"/>
      <c r="F79" s="47"/>
      <c r="G79" s="49"/>
      <c r="H79" s="49"/>
      <c r="I79" s="49"/>
      <c r="J79" s="5"/>
      <c r="K79" s="4"/>
      <c r="L79" s="50"/>
      <c r="M79" s="31"/>
      <c r="N79" s="32"/>
      <c r="O79" s="49"/>
      <c r="P79" s="89"/>
      <c r="Q79" s="4"/>
      <c r="R79" s="90"/>
      <c r="S79" s="90"/>
      <c r="T79" s="90"/>
      <c r="U79" s="90"/>
      <c r="V79" s="33"/>
      <c r="W79" s="33"/>
      <c r="X79" s="53"/>
    </row>
    <row r="80" spans="1:24" x14ac:dyDescent="0.2">
      <c r="A80" s="2"/>
      <c r="B80" s="81"/>
      <c r="C80" s="4"/>
      <c r="D80" s="50"/>
      <c r="E80" s="3"/>
      <c r="F80" s="50"/>
      <c r="G80" s="47"/>
      <c r="H80" s="4"/>
      <c r="I80" s="4"/>
      <c r="J80" s="4"/>
      <c r="K80" s="4"/>
      <c r="L80" s="50"/>
      <c r="M80" s="31"/>
      <c r="N80" s="32"/>
      <c r="O80" s="49"/>
      <c r="P80" s="89"/>
      <c r="Q80" s="4"/>
      <c r="R80" s="90"/>
      <c r="S80" s="90"/>
      <c r="T80" s="90"/>
      <c r="U80" s="90"/>
      <c r="V80" s="33"/>
      <c r="W80" s="33"/>
      <c r="X80" s="53"/>
    </row>
    <row r="81" spans="1:24" x14ac:dyDescent="0.2">
      <c r="A81" s="2"/>
      <c r="B81" s="81"/>
      <c r="C81" s="4"/>
      <c r="D81" s="47"/>
      <c r="E81" s="3"/>
      <c r="F81" s="47"/>
      <c r="G81" s="5"/>
      <c r="H81" s="5"/>
      <c r="I81" s="5"/>
      <c r="J81" s="5"/>
      <c r="K81" s="4"/>
      <c r="L81" s="50"/>
      <c r="M81" s="31"/>
      <c r="N81" s="32"/>
      <c r="O81" s="47"/>
      <c r="P81" s="89"/>
      <c r="Q81" s="4"/>
      <c r="R81" s="90"/>
      <c r="S81" s="90"/>
      <c r="T81" s="90"/>
      <c r="U81" s="90"/>
      <c r="V81" s="33"/>
      <c r="W81" s="33"/>
      <c r="X81" s="53"/>
    </row>
    <row r="82" spans="1:24" x14ac:dyDescent="0.2">
      <c r="A82" s="2"/>
      <c r="B82" s="81"/>
      <c r="C82" s="4"/>
      <c r="D82" s="49"/>
      <c r="E82" s="3"/>
      <c r="F82" s="49"/>
      <c r="G82" s="49"/>
      <c r="H82" s="5"/>
      <c r="I82" s="5"/>
      <c r="J82" s="5"/>
      <c r="K82" s="4"/>
      <c r="L82" s="47"/>
      <c r="M82" s="31"/>
      <c r="N82" s="32"/>
      <c r="O82" s="49"/>
      <c r="P82" s="89"/>
      <c r="Q82" s="4"/>
      <c r="R82" s="90"/>
      <c r="S82" s="90"/>
      <c r="T82" s="90"/>
      <c r="U82" s="90"/>
      <c r="V82" s="33"/>
      <c r="W82" s="33"/>
      <c r="X82" s="53"/>
    </row>
    <row r="83" spans="1:24" x14ac:dyDescent="0.2">
      <c r="A83" s="2"/>
      <c r="B83" s="81"/>
      <c r="C83" s="4"/>
      <c r="D83" s="44"/>
      <c r="E83" s="3"/>
      <c r="F83" s="3"/>
      <c r="G83" s="49"/>
      <c r="H83" s="5"/>
      <c r="I83" s="5"/>
      <c r="J83" s="5"/>
      <c r="K83" s="3"/>
      <c r="L83" s="3"/>
      <c r="M83" s="31"/>
      <c r="N83" s="32"/>
      <c r="O83" s="47"/>
      <c r="P83" s="89"/>
      <c r="Q83" s="4"/>
      <c r="R83" s="90"/>
      <c r="S83" s="90"/>
      <c r="T83" s="90"/>
      <c r="U83" s="90"/>
      <c r="V83" s="33"/>
      <c r="W83" s="33"/>
      <c r="X83" s="53"/>
    </row>
    <row r="84" spans="1:24" x14ac:dyDescent="0.2">
      <c r="A84" s="2"/>
      <c r="B84" s="81"/>
      <c r="C84" s="4"/>
      <c r="D84" s="44"/>
      <c r="E84" s="3"/>
      <c r="F84" s="3"/>
      <c r="G84" s="4"/>
      <c r="H84" s="4"/>
      <c r="I84" s="4"/>
      <c r="J84" s="4"/>
      <c r="K84" s="4"/>
      <c r="L84" s="3"/>
      <c r="M84" s="31"/>
      <c r="N84" s="32"/>
      <c r="O84" s="47"/>
      <c r="P84" s="89"/>
      <c r="Q84" s="4"/>
      <c r="R84" s="90"/>
      <c r="S84" s="90"/>
      <c r="T84" s="90"/>
      <c r="U84" s="90"/>
      <c r="V84" s="33"/>
      <c r="W84" s="33"/>
      <c r="X84" s="53"/>
    </row>
    <row r="85" spans="1:24" x14ac:dyDescent="0.2">
      <c r="A85" s="2"/>
      <c r="B85" s="81"/>
      <c r="C85" s="4"/>
      <c r="D85" s="49"/>
      <c r="E85" s="3"/>
      <c r="F85" s="49"/>
      <c r="G85" s="5"/>
      <c r="H85" s="5"/>
      <c r="I85" s="5"/>
      <c r="J85" s="5"/>
      <c r="K85" s="4"/>
      <c r="L85" s="47"/>
      <c r="M85" s="31"/>
      <c r="N85" s="32"/>
      <c r="O85" s="49"/>
      <c r="P85" s="89"/>
      <c r="Q85" s="4"/>
      <c r="R85" s="90"/>
      <c r="S85" s="90"/>
      <c r="T85" s="90"/>
      <c r="U85" s="90"/>
      <c r="V85" s="33"/>
      <c r="W85" s="33"/>
      <c r="X85" s="53"/>
    </row>
    <row r="86" spans="1:24" x14ac:dyDescent="0.2">
      <c r="A86" s="2"/>
      <c r="B86" s="81"/>
      <c r="C86" s="4"/>
      <c r="D86" s="49"/>
      <c r="E86" s="3"/>
      <c r="F86" s="50"/>
      <c r="G86" s="49"/>
      <c r="H86" s="4"/>
      <c r="I86" s="4"/>
      <c r="J86" s="4"/>
      <c r="K86" s="4"/>
      <c r="L86" s="47"/>
      <c r="M86" s="31"/>
      <c r="N86" s="32"/>
      <c r="O86" s="49"/>
      <c r="P86" s="89"/>
      <c r="Q86" s="4"/>
      <c r="R86" s="90"/>
      <c r="S86" s="90"/>
      <c r="T86" s="90"/>
      <c r="U86" s="90"/>
      <c r="V86" s="33"/>
      <c r="W86" s="33"/>
      <c r="X86" s="53"/>
    </row>
    <row r="87" spans="1:24" x14ac:dyDescent="0.2">
      <c r="A87" s="2"/>
      <c r="B87" s="81"/>
      <c r="C87" s="4"/>
      <c r="D87" s="50"/>
      <c r="E87" s="3"/>
      <c r="F87" s="49"/>
      <c r="G87" s="5"/>
      <c r="H87" s="5"/>
      <c r="I87" s="5"/>
      <c r="J87" s="5"/>
      <c r="K87" s="4"/>
      <c r="L87" s="33"/>
      <c r="M87" s="31"/>
      <c r="N87" s="32"/>
      <c r="O87" s="47"/>
      <c r="P87" s="89"/>
      <c r="Q87" s="4"/>
      <c r="R87" s="97"/>
      <c r="S87" s="97"/>
      <c r="T87" s="97"/>
      <c r="U87" s="97"/>
      <c r="V87" s="33"/>
      <c r="W87" s="33"/>
      <c r="X87" s="53"/>
    </row>
    <row r="88" spans="1:24" x14ac:dyDescent="0.2">
      <c r="A88" s="2"/>
      <c r="B88" s="81"/>
      <c r="C88" s="4"/>
      <c r="D88" s="44"/>
      <c r="E88" s="3"/>
      <c r="F88" s="3"/>
      <c r="G88" s="5"/>
      <c r="H88" s="5"/>
      <c r="I88" s="5"/>
      <c r="J88" s="5"/>
      <c r="K88" s="4"/>
      <c r="L88" s="33"/>
      <c r="M88" s="31"/>
      <c r="N88" s="32"/>
      <c r="O88" s="50"/>
      <c r="P88" s="89"/>
      <c r="Q88" s="4"/>
      <c r="R88" s="90"/>
      <c r="S88" s="90"/>
      <c r="T88" s="90"/>
      <c r="U88" s="90"/>
      <c r="V88" s="33"/>
      <c r="W88" s="33"/>
      <c r="X88" s="53"/>
    </row>
    <row r="89" spans="1:24" x14ac:dyDescent="0.2">
      <c r="A89" s="2"/>
      <c r="B89" s="81"/>
      <c r="C89" s="4"/>
      <c r="D89" s="44"/>
      <c r="E89" s="3"/>
      <c r="F89" s="3"/>
      <c r="G89" s="5"/>
      <c r="H89" s="5"/>
      <c r="I89" s="5"/>
      <c r="J89" s="5"/>
      <c r="K89" s="4"/>
      <c r="L89" s="33"/>
      <c r="M89" s="31"/>
      <c r="N89" s="32"/>
      <c r="O89" s="50"/>
      <c r="P89" s="95"/>
      <c r="Q89" s="4"/>
      <c r="R89" s="90"/>
      <c r="S89" s="90"/>
      <c r="T89" s="90"/>
      <c r="U89" s="90"/>
      <c r="V89" s="33"/>
      <c r="W89" s="33"/>
      <c r="X89" s="53"/>
    </row>
    <row r="90" spans="1:24" x14ac:dyDescent="0.2">
      <c r="A90" s="2"/>
      <c r="B90" s="81"/>
      <c r="C90" s="5"/>
      <c r="D90" s="44"/>
      <c r="E90" s="3"/>
      <c r="F90" s="3"/>
      <c r="G90" s="5"/>
      <c r="H90" s="5"/>
      <c r="I90" s="5"/>
      <c r="J90" s="5"/>
      <c r="K90" s="4"/>
      <c r="L90" s="33"/>
      <c r="M90" s="31"/>
      <c r="N90" s="32"/>
      <c r="O90" s="50"/>
      <c r="P90" s="89"/>
      <c r="Q90" s="4"/>
      <c r="R90" s="90"/>
      <c r="S90" s="90"/>
      <c r="T90" s="90"/>
      <c r="U90" s="90"/>
      <c r="V90" s="33"/>
      <c r="W90" s="33"/>
      <c r="X90" s="53"/>
    </row>
    <row r="91" spans="1:24" x14ac:dyDescent="0.2">
      <c r="A91" s="2"/>
      <c r="B91" s="81"/>
      <c r="C91" s="5"/>
      <c r="D91" s="44"/>
      <c r="E91" s="3"/>
      <c r="F91" s="5"/>
      <c r="G91" s="5"/>
      <c r="H91" s="5"/>
      <c r="I91" s="5"/>
      <c r="J91" s="5"/>
      <c r="K91" s="4"/>
      <c r="L91" s="33"/>
      <c r="M91" s="31"/>
      <c r="N91" s="32"/>
      <c r="O91" s="50"/>
      <c r="P91" s="89"/>
      <c r="Q91" s="4"/>
      <c r="R91" s="90"/>
      <c r="S91" s="90"/>
      <c r="T91" s="90"/>
      <c r="U91" s="90"/>
      <c r="V91" s="33"/>
      <c r="W91" s="33"/>
      <c r="X91" s="53"/>
    </row>
    <row r="92" spans="1:24" x14ac:dyDescent="0.2">
      <c r="A92" s="2"/>
      <c r="B92" s="81"/>
      <c r="C92" s="5"/>
      <c r="D92" s="44"/>
      <c r="E92" s="3"/>
      <c r="F92" s="5"/>
      <c r="G92" s="5"/>
      <c r="H92" s="5"/>
      <c r="I92" s="5"/>
      <c r="J92" s="5"/>
      <c r="K92" s="4"/>
      <c r="L92" s="33"/>
      <c r="M92" s="31"/>
      <c r="N92" s="32"/>
      <c r="O92" s="50"/>
      <c r="P92" s="89"/>
      <c r="Q92" s="4"/>
      <c r="R92" s="90"/>
      <c r="S92" s="90"/>
      <c r="T92" s="90"/>
      <c r="U92" s="90"/>
      <c r="V92" s="33"/>
      <c r="W92" s="33"/>
      <c r="X92" s="53"/>
    </row>
    <row r="93" spans="1:24" x14ac:dyDescent="0.2">
      <c r="A93" s="2"/>
      <c r="B93" s="81"/>
      <c r="C93" s="5"/>
      <c r="D93" s="44"/>
      <c r="E93" s="3"/>
      <c r="F93" s="3"/>
      <c r="G93" s="5"/>
      <c r="H93" s="5"/>
      <c r="I93" s="5"/>
      <c r="J93" s="5"/>
      <c r="K93" s="4"/>
      <c r="L93" s="33"/>
      <c r="M93" s="31"/>
      <c r="N93" s="32"/>
      <c r="O93" s="50"/>
      <c r="P93" s="89"/>
      <c r="Q93" s="4"/>
      <c r="R93" s="90"/>
      <c r="S93" s="90"/>
      <c r="T93" s="90"/>
      <c r="U93" s="90"/>
      <c r="V93" s="33"/>
      <c r="W93" s="33"/>
      <c r="X93" s="53"/>
    </row>
    <row r="94" spans="1:24" x14ac:dyDescent="0.2">
      <c r="A94" s="2"/>
      <c r="B94" s="81"/>
      <c r="C94" s="5"/>
      <c r="D94" s="44"/>
      <c r="E94" s="3"/>
      <c r="F94" s="47"/>
      <c r="G94" s="5"/>
      <c r="H94" s="5"/>
      <c r="I94" s="5"/>
      <c r="J94" s="5"/>
      <c r="K94" s="4"/>
      <c r="L94" s="49"/>
      <c r="M94" s="31"/>
      <c r="N94" s="32"/>
      <c r="O94" s="4"/>
      <c r="P94" s="89"/>
      <c r="Q94" s="4"/>
      <c r="R94" s="90"/>
      <c r="S94" s="90"/>
      <c r="T94" s="90"/>
      <c r="U94" s="90"/>
      <c r="V94" s="33"/>
      <c r="W94" s="33"/>
      <c r="X94" s="53"/>
    </row>
    <row r="95" spans="1:24" x14ac:dyDescent="0.2">
      <c r="A95" s="2"/>
      <c r="B95" s="81"/>
      <c r="C95" s="5"/>
      <c r="D95" s="44"/>
      <c r="E95" s="98"/>
      <c r="F95" s="50"/>
      <c r="G95" s="5"/>
      <c r="H95" s="5"/>
      <c r="I95" s="5"/>
      <c r="J95" s="5"/>
      <c r="K95" s="4"/>
      <c r="L95" s="49"/>
      <c r="M95" s="31"/>
      <c r="N95" s="32"/>
      <c r="O95" s="4"/>
      <c r="P95" s="89"/>
      <c r="Q95" s="4"/>
      <c r="R95" s="90"/>
      <c r="S95" s="90"/>
      <c r="T95" s="90"/>
      <c r="U95" s="90"/>
      <c r="V95" s="33"/>
      <c r="W95" s="33"/>
      <c r="X95" s="53"/>
    </row>
    <row r="96" spans="1:24" x14ac:dyDescent="0.2">
      <c r="A96" s="2"/>
      <c r="B96" s="81"/>
      <c r="C96" s="5"/>
      <c r="D96" s="44"/>
      <c r="E96" s="3"/>
      <c r="F96" s="5"/>
      <c r="G96" s="5"/>
      <c r="H96" s="5"/>
      <c r="I96" s="5"/>
      <c r="J96" s="5"/>
      <c r="K96" s="4"/>
      <c r="L96" s="33"/>
      <c r="M96" s="31"/>
      <c r="N96" s="32"/>
      <c r="O96" s="50"/>
      <c r="P96" s="89"/>
      <c r="Q96" s="4"/>
      <c r="R96" s="90"/>
      <c r="S96" s="90"/>
      <c r="T96" s="90"/>
      <c r="U96" s="90"/>
      <c r="V96" s="33"/>
      <c r="W96" s="33"/>
      <c r="X96" s="78"/>
    </row>
    <row r="97" spans="1:24" x14ac:dyDescent="0.2">
      <c r="A97" s="2"/>
      <c r="B97" s="81"/>
      <c r="C97" s="4"/>
      <c r="D97" s="47"/>
      <c r="E97" s="3"/>
      <c r="F97" s="47"/>
      <c r="G97" s="49"/>
      <c r="H97" s="4"/>
      <c r="I97" s="4"/>
      <c r="J97" s="4"/>
      <c r="K97" s="4"/>
      <c r="L97" s="50"/>
      <c r="M97" s="31"/>
      <c r="N97" s="32"/>
      <c r="O97" s="4"/>
      <c r="P97" s="89"/>
      <c r="Q97" s="4"/>
      <c r="R97" s="90"/>
      <c r="S97" s="90"/>
      <c r="T97" s="90"/>
      <c r="U97" s="90"/>
      <c r="V97" s="33"/>
      <c r="W97" s="33"/>
      <c r="X97" s="53"/>
    </row>
    <row r="98" spans="1:24" x14ac:dyDescent="0.2">
      <c r="A98" s="2"/>
      <c r="B98" s="81"/>
      <c r="C98" s="4"/>
      <c r="D98" s="44"/>
      <c r="E98" s="3"/>
      <c r="F98" s="4"/>
      <c r="G98" s="4"/>
      <c r="H98" s="4"/>
      <c r="I98" s="4"/>
      <c r="J98" s="4"/>
      <c r="K98" s="4"/>
      <c r="L98" s="33"/>
      <c r="M98" s="31"/>
      <c r="N98" s="32"/>
      <c r="O98" s="49"/>
      <c r="P98" s="89"/>
      <c r="Q98" s="4"/>
      <c r="R98" s="90"/>
      <c r="S98" s="90"/>
      <c r="T98" s="90"/>
      <c r="U98" s="90"/>
      <c r="V98" s="33"/>
      <c r="W98" s="33"/>
      <c r="X98" s="53"/>
    </row>
    <row r="99" spans="1:24" x14ac:dyDescent="0.2">
      <c r="A99" s="2"/>
      <c r="B99" s="81"/>
      <c r="C99" s="4"/>
      <c r="D99" s="49"/>
      <c r="E99" s="3"/>
      <c r="F99" s="50"/>
      <c r="G99" s="4"/>
      <c r="H99" s="4"/>
      <c r="I99" s="4"/>
      <c r="J99" s="4"/>
      <c r="K99" s="4"/>
      <c r="L99" s="33"/>
      <c r="M99" s="31"/>
      <c r="N99" s="32"/>
      <c r="O99" s="4"/>
      <c r="P99" s="89"/>
      <c r="Q99" s="4"/>
      <c r="R99" s="90"/>
      <c r="S99" s="90"/>
      <c r="T99" s="90"/>
      <c r="U99" s="90"/>
      <c r="V99" s="33"/>
      <c r="W99" s="33"/>
      <c r="X99" s="53"/>
    </row>
    <row r="100" spans="1:24" x14ac:dyDescent="0.2">
      <c r="A100" s="2"/>
      <c r="B100" s="81"/>
      <c r="C100" s="4"/>
      <c r="D100" s="49"/>
      <c r="E100" s="3"/>
      <c r="F100" s="50"/>
      <c r="G100" s="4"/>
      <c r="H100" s="4"/>
      <c r="I100" s="4"/>
      <c r="J100" s="4"/>
      <c r="K100" s="4"/>
      <c r="L100" s="33"/>
      <c r="M100" s="31"/>
      <c r="N100" s="32"/>
      <c r="O100" s="4"/>
      <c r="P100" s="89"/>
      <c r="Q100" s="4"/>
      <c r="R100" s="90"/>
      <c r="S100" s="90"/>
      <c r="T100" s="90"/>
      <c r="U100" s="90"/>
      <c r="V100" s="33"/>
      <c r="W100" s="33"/>
      <c r="X100" s="53"/>
    </row>
    <row r="101" spans="1:24" x14ac:dyDescent="0.2">
      <c r="A101" s="2"/>
      <c r="B101" s="81"/>
      <c r="C101" s="4"/>
      <c r="D101" s="44"/>
      <c r="E101" s="3"/>
      <c r="F101" s="4"/>
      <c r="G101" s="4"/>
      <c r="H101" s="4"/>
      <c r="I101" s="4"/>
      <c r="J101" s="4"/>
      <c r="K101" s="4"/>
      <c r="L101" s="33"/>
      <c r="M101" s="31"/>
      <c r="N101" s="32"/>
      <c r="O101" s="49"/>
      <c r="P101" s="89"/>
      <c r="Q101" s="4"/>
      <c r="R101" s="90"/>
      <c r="S101" s="90"/>
      <c r="T101" s="90"/>
      <c r="U101" s="90"/>
      <c r="V101" s="33"/>
      <c r="W101" s="33"/>
      <c r="X101" s="78"/>
    </row>
    <row r="102" spans="1:24" x14ac:dyDescent="0.2">
      <c r="A102" s="2"/>
      <c r="B102" s="81"/>
      <c r="C102" s="4"/>
      <c r="D102" s="44"/>
      <c r="E102" s="3"/>
      <c r="F102" s="4"/>
      <c r="G102" s="4"/>
      <c r="H102" s="4"/>
      <c r="I102" s="4"/>
      <c r="J102" s="4"/>
      <c r="K102" s="4"/>
      <c r="L102" s="33"/>
      <c r="M102" s="31"/>
      <c r="N102" s="32"/>
      <c r="O102" s="4"/>
      <c r="P102" s="89"/>
      <c r="Q102" s="4"/>
      <c r="R102" s="90"/>
      <c r="S102" s="90"/>
      <c r="T102" s="90"/>
      <c r="U102" s="90"/>
      <c r="V102" s="33"/>
      <c r="W102" s="33"/>
      <c r="X102" s="78"/>
    </row>
    <row r="103" spans="1:24" x14ac:dyDescent="0.2">
      <c r="A103" s="2"/>
      <c r="B103" s="81"/>
      <c r="C103" s="4"/>
      <c r="D103" s="44"/>
      <c r="E103" s="3"/>
      <c r="F103" s="4"/>
      <c r="G103" s="4"/>
      <c r="H103" s="4"/>
      <c r="I103" s="4"/>
      <c r="J103" s="4"/>
      <c r="K103" s="4"/>
      <c r="L103" s="33"/>
      <c r="M103" s="31"/>
      <c r="N103" s="32"/>
      <c r="O103" s="4"/>
      <c r="P103" s="89"/>
      <c r="Q103" s="4"/>
      <c r="R103" s="90"/>
      <c r="S103" s="90"/>
      <c r="T103" s="90"/>
      <c r="U103" s="90"/>
      <c r="V103" s="33"/>
      <c r="W103" s="33"/>
      <c r="X103" s="53"/>
    </row>
    <row r="104" spans="1:24" x14ac:dyDescent="0.2">
      <c r="A104" s="2"/>
      <c r="B104" s="81"/>
      <c r="C104" s="4"/>
      <c r="D104" s="44"/>
      <c r="E104" s="3"/>
      <c r="F104" s="4"/>
      <c r="G104" s="4"/>
      <c r="H104" s="4"/>
      <c r="I104" s="4"/>
      <c r="J104" s="4"/>
      <c r="K104" s="4"/>
      <c r="L104" s="33"/>
      <c r="M104" s="31"/>
      <c r="N104" s="32"/>
      <c r="O104" s="4"/>
      <c r="P104" s="89"/>
      <c r="Q104" s="4"/>
      <c r="R104" s="90"/>
      <c r="S104" s="90"/>
      <c r="T104" s="90"/>
      <c r="U104" s="90"/>
      <c r="V104" s="33"/>
      <c r="W104" s="33"/>
      <c r="X104" s="53"/>
    </row>
    <row r="105" spans="1:24" x14ac:dyDescent="0.2">
      <c r="A105" s="2"/>
      <c r="B105" s="81"/>
      <c r="C105" s="4"/>
      <c r="D105" s="44"/>
      <c r="E105" s="3"/>
      <c r="F105" s="4"/>
      <c r="G105" s="4"/>
      <c r="H105" s="4"/>
      <c r="I105" s="4"/>
      <c r="J105" s="4"/>
      <c r="K105" s="4"/>
      <c r="L105" s="33"/>
      <c r="M105" s="31"/>
      <c r="N105" s="32"/>
      <c r="O105" s="4"/>
      <c r="P105" s="89"/>
      <c r="Q105" s="4"/>
      <c r="R105" s="90"/>
      <c r="S105" s="90"/>
      <c r="T105" s="90"/>
      <c r="U105" s="90"/>
      <c r="V105" s="33"/>
      <c r="W105" s="33"/>
      <c r="X105" s="53"/>
    </row>
    <row r="106" spans="1:24" ht="12" thickBot="1" x14ac:dyDescent="0.25">
      <c r="A106" s="7"/>
      <c r="B106" s="15"/>
      <c r="C106" s="8"/>
      <c r="D106" s="8"/>
      <c r="E106" s="9"/>
      <c r="F106" s="8"/>
      <c r="G106" s="8"/>
      <c r="H106" s="8"/>
      <c r="I106" s="8"/>
      <c r="J106" s="8"/>
      <c r="K106" s="8"/>
      <c r="L106" s="36"/>
      <c r="M106" s="34"/>
      <c r="N106" s="35"/>
      <c r="O106" s="8"/>
      <c r="P106" s="57"/>
      <c r="Q106" s="8"/>
      <c r="R106" s="39"/>
      <c r="S106" s="39"/>
      <c r="T106" s="39"/>
      <c r="U106" s="39"/>
      <c r="V106" s="36"/>
      <c r="W106" s="36"/>
      <c r="X106" s="54"/>
    </row>
    <row r="107" spans="1:24" x14ac:dyDescent="0.2">
      <c r="A107" s="45"/>
      <c r="B107" s="16"/>
      <c r="C107" s="99"/>
      <c r="D107" s="45"/>
      <c r="E107" s="6"/>
      <c r="F107" s="99"/>
      <c r="G107" s="99"/>
      <c r="H107" s="99"/>
      <c r="I107" s="99"/>
      <c r="J107" s="99"/>
      <c r="K107" s="99"/>
      <c r="L107" s="27"/>
      <c r="M107" s="27"/>
      <c r="N107" s="27"/>
      <c r="O107" s="99"/>
      <c r="P107" s="100"/>
      <c r="Q107" s="99"/>
      <c r="R107" s="101"/>
      <c r="S107" s="101"/>
      <c r="T107" s="101"/>
      <c r="U107" s="101"/>
      <c r="V107" s="27"/>
      <c r="W107" s="27"/>
      <c r="X107" s="23"/>
    </row>
    <row r="108" spans="1:24" x14ac:dyDescent="0.2">
      <c r="A108" s="10" t="s">
        <v>8</v>
      </c>
      <c r="B108" s="14" t="s">
        <v>8</v>
      </c>
      <c r="C108" s="1" t="s">
        <v>8</v>
      </c>
      <c r="L108" s="28" t="s">
        <v>25</v>
      </c>
      <c r="M108" s="29">
        <f>SUM(M16:M106)</f>
        <v>77313952.950000003</v>
      </c>
      <c r="N108" s="1"/>
      <c r="O108" s="24" t="s">
        <v>46</v>
      </c>
      <c r="P108" s="25">
        <f>SUM(P15:P106)</f>
        <v>21363687.460000005</v>
      </c>
      <c r="Q108" s="6"/>
      <c r="R108" s="12"/>
      <c r="S108" s="12"/>
      <c r="T108" s="12"/>
      <c r="U108" s="12"/>
      <c r="V108" s="26"/>
      <c r="W108" s="26"/>
    </row>
    <row r="109" spans="1:24" ht="12.75" x14ac:dyDescent="0.2">
      <c r="A109" s="38" t="s">
        <v>62</v>
      </c>
      <c r="B109" s="14"/>
      <c r="N109" s="1"/>
      <c r="O109" s="11"/>
      <c r="P109" s="71" t="s">
        <v>68</v>
      </c>
      <c r="Q109" s="71" t="s">
        <v>69</v>
      </c>
      <c r="R109" s="12"/>
      <c r="S109" s="12"/>
      <c r="T109" s="12"/>
      <c r="U109" s="12"/>
    </row>
    <row r="110" spans="1:24" x14ac:dyDescent="0.2">
      <c r="A110" s="10"/>
      <c r="B110" s="14"/>
      <c r="N110" s="1"/>
      <c r="O110" s="28" t="s">
        <v>22</v>
      </c>
      <c r="P110" s="30">
        <f>SUMIF(W16:W106,"GOODS",$P$16:$P$106)</f>
        <v>4724610.2299999995</v>
      </c>
      <c r="Q110" s="73">
        <f>COUNTIFS(W15:W106,"GOODS",$P$15:$P$106,"&gt;=1")</f>
        <v>22</v>
      </c>
      <c r="R110" s="12"/>
      <c r="S110" s="12"/>
      <c r="T110" s="12"/>
      <c r="U110" s="12"/>
    </row>
    <row r="111" spans="1:24" x14ac:dyDescent="0.2">
      <c r="A111" s="10"/>
      <c r="B111" s="14"/>
      <c r="N111" s="1"/>
      <c r="O111" s="28" t="s">
        <v>23</v>
      </c>
      <c r="P111" s="30">
        <f>SUMIF(W16:W106,"SERVICES",$P$16:$P$106)</f>
        <v>1204500</v>
      </c>
      <c r="Q111" s="73">
        <f>COUNTIFS(W15:W106,"SERVICES",$P$15:$P$106,"&gt;=1")</f>
        <v>6</v>
      </c>
      <c r="R111" s="12"/>
      <c r="S111" s="12"/>
      <c r="T111" s="12"/>
      <c r="U111" s="12"/>
    </row>
    <row r="112" spans="1:24" x14ac:dyDescent="0.2">
      <c r="A112" s="10"/>
      <c r="B112" s="14"/>
      <c r="N112" s="1"/>
      <c r="O112" s="28" t="s">
        <v>24</v>
      </c>
      <c r="P112" s="70">
        <f>SUMIF(W16:W106,"CONSTRUCTION",$P$16:$P$106)</f>
        <v>15434577.230000002</v>
      </c>
      <c r="Q112" s="69">
        <f>COUNTIFS(W15:W106,"CONSTRUCTION",$P$15:$P$106,"&gt;=1")</f>
        <v>8</v>
      </c>
      <c r="R112" s="12"/>
      <c r="S112" s="12"/>
      <c r="T112" s="12"/>
      <c r="U112" s="12"/>
    </row>
    <row r="113" spans="1:31" x14ac:dyDescent="0.2">
      <c r="A113" s="10"/>
      <c r="B113" s="14"/>
      <c r="K113" s="11"/>
      <c r="O113" s="6"/>
      <c r="P113" s="75">
        <f>SUM(P110:P112)</f>
        <v>21363687.460000001</v>
      </c>
      <c r="Q113" s="76">
        <f>SUM(Q110:Q112)</f>
        <v>36</v>
      </c>
      <c r="R113" s="12"/>
      <c r="S113" s="12"/>
      <c r="T113" s="12"/>
      <c r="U113" s="12"/>
    </row>
    <row r="114" spans="1:31" ht="15.75" x14ac:dyDescent="0.25">
      <c r="A114" s="88" t="s">
        <v>32</v>
      </c>
      <c r="B114" s="88"/>
      <c r="L114" s="1"/>
      <c r="M114" s="1"/>
      <c r="O114" s="6"/>
      <c r="Q114" s="6"/>
      <c r="R114" s="12"/>
      <c r="S114" s="12"/>
      <c r="T114" s="12"/>
      <c r="U114" s="12"/>
    </row>
    <row r="115" spans="1:31" ht="15.75" x14ac:dyDescent="0.25">
      <c r="A115" s="88" t="str">
        <f>A10</f>
        <v>FISCAL YEAR 2021-2022</v>
      </c>
      <c r="B115" s="88"/>
      <c r="C115" s="88"/>
      <c r="D115" s="102"/>
      <c r="L115" s="1"/>
      <c r="M115" s="1"/>
      <c r="N115" s="1"/>
      <c r="P115" s="14"/>
      <c r="Q115" s="6"/>
      <c r="R115" s="6"/>
      <c r="S115" s="6"/>
      <c r="T115" s="12"/>
      <c r="U115" s="12"/>
      <c r="V115" s="12"/>
      <c r="Y115" s="14"/>
    </row>
    <row r="116" spans="1:31" ht="12" thickBot="1" x14ac:dyDescent="0.25">
      <c r="T116" s="14"/>
      <c r="U116" s="14"/>
      <c r="V116" s="23"/>
      <c r="W116" s="1"/>
      <c r="X116" s="1"/>
    </row>
    <row r="117" spans="1:31" ht="11.45" customHeight="1" x14ac:dyDescent="0.2">
      <c r="A117" s="17"/>
      <c r="B117" s="17"/>
      <c r="C117" s="17"/>
      <c r="D117" s="41"/>
      <c r="E117" s="17"/>
      <c r="F117" s="17"/>
      <c r="G117" s="17"/>
      <c r="H117" s="17"/>
      <c r="I117" s="17"/>
      <c r="J117" s="17"/>
      <c r="K117" s="18" t="s">
        <v>10</v>
      </c>
      <c r="L117" s="18"/>
      <c r="M117" s="18" t="s">
        <v>53</v>
      </c>
      <c r="N117" s="18" t="s">
        <v>47</v>
      </c>
      <c r="O117" s="17"/>
      <c r="P117" s="17"/>
      <c r="Q117" s="210"/>
      <c r="R117" s="211"/>
      <c r="S117" s="195"/>
      <c r="T117" s="18"/>
      <c r="U117" s="18"/>
      <c r="V117" s="210"/>
      <c r="W117" s="211"/>
      <c r="X117" s="1"/>
    </row>
    <row r="118" spans="1:31" ht="11.45" customHeight="1" x14ac:dyDescent="0.2">
      <c r="A118" s="19" t="s">
        <v>0</v>
      </c>
      <c r="B118" s="19" t="s">
        <v>1</v>
      </c>
      <c r="C118" s="19" t="s">
        <v>0</v>
      </c>
      <c r="D118" s="42" t="s">
        <v>39</v>
      </c>
      <c r="E118" s="19" t="s">
        <v>2</v>
      </c>
      <c r="F118" s="19" t="s">
        <v>0</v>
      </c>
      <c r="G118" s="19" t="s">
        <v>41</v>
      </c>
      <c r="H118" s="19" t="s">
        <v>41</v>
      </c>
      <c r="I118" s="19" t="s">
        <v>41</v>
      </c>
      <c r="J118" s="19" t="s">
        <v>41</v>
      </c>
      <c r="K118" s="19" t="s">
        <v>3</v>
      </c>
      <c r="L118" s="19" t="s">
        <v>51</v>
      </c>
      <c r="M118" s="19" t="s">
        <v>54</v>
      </c>
      <c r="N118" s="19" t="s">
        <v>50</v>
      </c>
      <c r="O118" s="19" t="s">
        <v>4</v>
      </c>
      <c r="P118" s="19" t="s">
        <v>4</v>
      </c>
      <c r="Q118" s="212" t="s">
        <v>14</v>
      </c>
      <c r="R118" s="213"/>
      <c r="S118" s="194" t="s">
        <v>15</v>
      </c>
      <c r="T118" s="19" t="s">
        <v>21</v>
      </c>
      <c r="U118" s="19" t="s">
        <v>26</v>
      </c>
      <c r="V118" s="212" t="s">
        <v>65</v>
      </c>
      <c r="W118" s="213"/>
      <c r="X118" s="1"/>
    </row>
    <row r="119" spans="1:31" ht="11.45" customHeight="1" x14ac:dyDescent="0.2">
      <c r="A119" s="19" t="s">
        <v>5</v>
      </c>
      <c r="B119" s="19"/>
      <c r="C119" s="19" t="s">
        <v>39</v>
      </c>
      <c r="D119" s="42" t="s">
        <v>40</v>
      </c>
      <c r="E119" s="19" t="s">
        <v>7</v>
      </c>
      <c r="F119" s="19" t="s">
        <v>64</v>
      </c>
      <c r="G119" s="19" t="s">
        <v>42</v>
      </c>
      <c r="H119" s="19" t="s">
        <v>43</v>
      </c>
      <c r="I119" s="19" t="s">
        <v>44</v>
      </c>
      <c r="J119" s="19" t="s">
        <v>45</v>
      </c>
      <c r="K119" s="19" t="s">
        <v>6</v>
      </c>
      <c r="L119" s="19" t="s">
        <v>36</v>
      </c>
      <c r="M119" s="19" t="s">
        <v>13</v>
      </c>
      <c r="N119" s="19" t="s">
        <v>13</v>
      </c>
      <c r="O119" s="19" t="s">
        <v>9</v>
      </c>
      <c r="P119" s="19" t="s">
        <v>6</v>
      </c>
      <c r="Q119" s="212"/>
      <c r="R119" s="213"/>
      <c r="S119" s="194"/>
      <c r="T119" s="19" t="s">
        <v>28</v>
      </c>
      <c r="U119" s="19" t="s">
        <v>27</v>
      </c>
      <c r="V119" s="212"/>
      <c r="W119" s="213"/>
      <c r="X119" s="1"/>
    </row>
    <row r="120" spans="1:31" ht="2.25" customHeight="1" thickBot="1" x14ac:dyDescent="0.25">
      <c r="A120" s="21"/>
      <c r="B120" s="20"/>
      <c r="C120" s="22"/>
      <c r="D120" s="43"/>
      <c r="E120" s="20"/>
      <c r="F120" s="22"/>
      <c r="G120" s="22"/>
      <c r="H120" s="22"/>
      <c r="I120" s="22"/>
      <c r="J120" s="22"/>
      <c r="K120" s="20"/>
      <c r="L120" s="20"/>
      <c r="M120" s="20"/>
      <c r="N120" s="20"/>
      <c r="O120" s="20"/>
      <c r="P120" s="20"/>
      <c r="Q120" s="214"/>
      <c r="R120" s="215"/>
      <c r="S120" s="196"/>
      <c r="T120" s="20"/>
      <c r="U120" s="20"/>
      <c r="V120" s="214"/>
      <c r="W120" s="215"/>
      <c r="X120" s="1"/>
    </row>
    <row r="121" spans="1:31" x14ac:dyDescent="0.2">
      <c r="A121" s="2" t="s">
        <v>2453</v>
      </c>
      <c r="B121" s="93" t="s">
        <v>2454</v>
      </c>
      <c r="C121" s="4" t="s">
        <v>86</v>
      </c>
      <c r="D121" s="2" t="s">
        <v>86</v>
      </c>
      <c r="E121" s="4" t="s">
        <v>86</v>
      </c>
      <c r="F121" s="49" t="s">
        <v>2478</v>
      </c>
      <c r="G121" s="4"/>
      <c r="H121" s="4"/>
      <c r="I121" s="4"/>
      <c r="J121" s="4"/>
      <c r="K121" s="4">
        <v>44498</v>
      </c>
      <c r="L121" s="49" t="s">
        <v>2480</v>
      </c>
      <c r="M121" s="67">
        <f>5300+6245</f>
        <v>11545</v>
      </c>
      <c r="N121" s="65">
        <v>2</v>
      </c>
      <c r="O121" s="58">
        <v>6000</v>
      </c>
      <c r="P121" s="4">
        <v>44503</v>
      </c>
      <c r="Q121" s="216" t="s">
        <v>2544</v>
      </c>
      <c r="R121" s="217"/>
      <c r="S121" s="193"/>
      <c r="T121" s="63" t="s">
        <v>72</v>
      </c>
      <c r="U121" s="63" t="s">
        <v>22</v>
      </c>
      <c r="V121" s="218"/>
      <c r="W121" s="219"/>
      <c r="X121" s="1"/>
      <c r="Y121" s="6"/>
      <c r="Z121" s="12"/>
      <c r="AA121" s="12"/>
      <c r="AB121" s="12"/>
      <c r="AC121" s="14"/>
      <c r="AD121" s="14"/>
      <c r="AE121" s="14"/>
    </row>
    <row r="122" spans="1:31" x14ac:dyDescent="0.2">
      <c r="A122" s="2" t="s">
        <v>2580</v>
      </c>
      <c r="B122" s="93" t="s">
        <v>2625</v>
      </c>
      <c r="C122" s="4" t="s">
        <v>86</v>
      </c>
      <c r="D122" s="2" t="s">
        <v>86</v>
      </c>
      <c r="E122" s="4" t="s">
        <v>86</v>
      </c>
      <c r="F122" s="5" t="s">
        <v>86</v>
      </c>
      <c r="G122" s="47"/>
      <c r="H122" s="4"/>
      <c r="I122" s="4"/>
      <c r="J122" s="4"/>
      <c r="K122" s="5" t="s">
        <v>86</v>
      </c>
      <c r="L122" s="5" t="s">
        <v>86</v>
      </c>
      <c r="M122" s="59" t="s">
        <v>86</v>
      </c>
      <c r="N122" s="65">
        <v>1</v>
      </c>
      <c r="O122" s="59">
        <v>15000</v>
      </c>
      <c r="P122" s="4">
        <v>44518</v>
      </c>
      <c r="Q122" s="216" t="s">
        <v>2581</v>
      </c>
      <c r="R122" s="217"/>
      <c r="S122" s="193"/>
      <c r="T122" s="63" t="s">
        <v>87</v>
      </c>
      <c r="U122" s="63" t="s">
        <v>22</v>
      </c>
      <c r="V122" s="220" t="s">
        <v>2624</v>
      </c>
      <c r="W122" s="221"/>
      <c r="X122" s="1"/>
      <c r="Y122" s="6"/>
      <c r="Z122" s="12"/>
      <c r="AA122" s="12"/>
      <c r="AB122" s="12"/>
      <c r="AC122" s="14"/>
      <c r="AD122" s="14"/>
      <c r="AE122" s="14"/>
    </row>
    <row r="123" spans="1:31" x14ac:dyDescent="0.2">
      <c r="A123" s="2" t="s">
        <v>2606</v>
      </c>
      <c r="B123" s="93"/>
      <c r="C123" s="4" t="s">
        <v>86</v>
      </c>
      <c r="D123" s="2" t="s">
        <v>86</v>
      </c>
      <c r="E123" s="4" t="s">
        <v>86</v>
      </c>
      <c r="F123" s="5" t="s">
        <v>86</v>
      </c>
      <c r="G123" s="4"/>
      <c r="H123" s="4"/>
      <c r="I123" s="4"/>
      <c r="J123" s="4"/>
      <c r="K123" s="4" t="s">
        <v>86</v>
      </c>
      <c r="L123" s="5" t="s">
        <v>86</v>
      </c>
      <c r="M123" s="209" t="s">
        <v>86</v>
      </c>
      <c r="N123" s="65" t="s">
        <v>86</v>
      </c>
      <c r="O123" s="59"/>
      <c r="P123" s="4"/>
      <c r="Q123" s="216"/>
      <c r="R123" s="217"/>
      <c r="S123" s="193"/>
      <c r="T123" s="63" t="s">
        <v>87</v>
      </c>
      <c r="U123" s="63" t="s">
        <v>22</v>
      </c>
      <c r="V123" s="220"/>
      <c r="W123" s="221"/>
      <c r="X123" s="1"/>
      <c r="Y123" s="6"/>
      <c r="Z123" s="12"/>
      <c r="AA123" s="12"/>
      <c r="AB123" s="12"/>
      <c r="AC123" s="14"/>
      <c r="AD123" s="14"/>
      <c r="AE123" s="14"/>
    </row>
    <row r="124" spans="1:31" x14ac:dyDescent="0.2">
      <c r="A124" s="2"/>
      <c r="B124" s="93"/>
      <c r="C124" s="3"/>
      <c r="D124" s="45"/>
      <c r="E124" s="4"/>
      <c r="F124" s="49"/>
      <c r="G124" s="4"/>
      <c r="H124" s="4"/>
      <c r="I124" s="4"/>
      <c r="J124" s="4"/>
      <c r="K124" s="4"/>
      <c r="L124" s="49"/>
      <c r="M124" s="67"/>
      <c r="N124" s="65"/>
      <c r="O124" s="59"/>
      <c r="P124" s="4"/>
      <c r="Q124" s="216"/>
      <c r="R124" s="217"/>
      <c r="S124" s="193"/>
      <c r="T124" s="63"/>
      <c r="U124" s="63"/>
      <c r="V124" s="220"/>
      <c r="W124" s="221"/>
      <c r="X124" s="1"/>
      <c r="Y124" s="6"/>
      <c r="Z124" s="12"/>
      <c r="AA124" s="12"/>
      <c r="AB124" s="12"/>
      <c r="AC124" s="14"/>
      <c r="AD124" s="14"/>
      <c r="AE124" s="14"/>
    </row>
    <row r="125" spans="1:31" x14ac:dyDescent="0.2">
      <c r="A125" s="2"/>
      <c r="B125" s="93"/>
      <c r="C125" s="3"/>
      <c r="D125" s="45"/>
      <c r="E125" s="4"/>
      <c r="F125" s="49"/>
      <c r="G125" s="47"/>
      <c r="H125" s="4"/>
      <c r="I125" s="4"/>
      <c r="J125" s="4"/>
      <c r="K125" s="4"/>
      <c r="L125" s="49"/>
      <c r="M125" s="67"/>
      <c r="N125" s="65"/>
      <c r="O125" s="59"/>
      <c r="P125" s="4"/>
      <c r="Q125" s="216"/>
      <c r="R125" s="217"/>
      <c r="S125" s="193"/>
      <c r="T125" s="63"/>
      <c r="U125" s="63"/>
      <c r="V125" s="220"/>
      <c r="W125" s="221"/>
      <c r="X125" s="1"/>
      <c r="Y125" s="6"/>
      <c r="Z125" s="12"/>
      <c r="AA125" s="12"/>
      <c r="AB125" s="12"/>
      <c r="AC125" s="14"/>
      <c r="AD125" s="14"/>
      <c r="AE125" s="14"/>
    </row>
    <row r="126" spans="1:31" x14ac:dyDescent="0.2">
      <c r="A126" s="2"/>
      <c r="B126" s="93"/>
      <c r="C126" s="3"/>
      <c r="D126" s="45"/>
      <c r="E126" s="4"/>
      <c r="F126" s="47"/>
      <c r="G126" s="47"/>
      <c r="H126" s="4"/>
      <c r="I126" s="4"/>
      <c r="J126" s="4"/>
      <c r="K126" s="4"/>
      <c r="L126" s="49"/>
      <c r="M126" s="67"/>
      <c r="N126" s="65"/>
      <c r="O126" s="59"/>
      <c r="P126" s="4"/>
      <c r="Q126" s="216"/>
      <c r="R126" s="217"/>
      <c r="S126" s="193"/>
      <c r="T126" s="63"/>
      <c r="U126" s="63"/>
      <c r="V126" s="220"/>
      <c r="W126" s="221"/>
      <c r="X126" s="1"/>
      <c r="Y126" s="6"/>
      <c r="Z126" s="12"/>
      <c r="AA126" s="12"/>
      <c r="AB126" s="12"/>
      <c r="AC126" s="14"/>
      <c r="AD126" s="14"/>
      <c r="AE126" s="14"/>
    </row>
    <row r="127" spans="1:31" x14ac:dyDescent="0.2">
      <c r="A127" s="2"/>
      <c r="B127" s="93"/>
      <c r="C127" s="3"/>
      <c r="D127" s="45"/>
      <c r="E127" s="4"/>
      <c r="F127" s="49"/>
      <c r="G127" s="4"/>
      <c r="H127" s="4"/>
      <c r="I127" s="4"/>
      <c r="J127" s="4"/>
      <c r="K127" s="4"/>
      <c r="L127" s="50"/>
      <c r="M127" s="67"/>
      <c r="N127" s="65"/>
      <c r="O127" s="59"/>
      <c r="P127" s="4"/>
      <c r="Q127" s="216"/>
      <c r="R127" s="217"/>
      <c r="S127" s="193"/>
      <c r="T127" s="63"/>
      <c r="U127" s="63"/>
      <c r="V127" s="220"/>
      <c r="W127" s="221"/>
      <c r="X127" s="1"/>
      <c r="Y127" s="6"/>
      <c r="Z127" s="12"/>
      <c r="AA127" s="12"/>
      <c r="AB127" s="12"/>
      <c r="AC127" s="14"/>
      <c r="AD127" s="14"/>
      <c r="AE127" s="14"/>
    </row>
    <row r="128" spans="1:31" x14ac:dyDescent="0.2">
      <c r="A128" s="2"/>
      <c r="B128" s="93"/>
      <c r="C128" s="3"/>
      <c r="D128" s="45"/>
      <c r="E128" s="4"/>
      <c r="F128" s="47"/>
      <c r="G128" s="47"/>
      <c r="H128" s="4"/>
      <c r="I128" s="4"/>
      <c r="J128" s="4"/>
      <c r="K128" s="4"/>
      <c r="L128" s="47"/>
      <c r="M128" s="68"/>
      <c r="N128" s="66"/>
      <c r="O128" s="58"/>
      <c r="P128" s="4"/>
      <c r="Q128" s="216"/>
      <c r="R128" s="217"/>
      <c r="S128" s="193"/>
      <c r="T128" s="64"/>
      <c r="U128" s="64"/>
      <c r="V128" s="220"/>
      <c r="W128" s="221"/>
      <c r="X128" s="1"/>
      <c r="Y128" s="6"/>
      <c r="Z128" s="12"/>
      <c r="AA128" s="12"/>
      <c r="AB128" s="12"/>
      <c r="AC128" s="14"/>
      <c r="AD128" s="14"/>
      <c r="AE128" s="14"/>
    </row>
    <row r="129" spans="1:32" x14ac:dyDescent="0.2">
      <c r="A129" s="2"/>
      <c r="B129" s="93"/>
      <c r="C129" s="3"/>
      <c r="D129" s="45"/>
      <c r="E129" s="4"/>
      <c r="F129" s="47"/>
      <c r="G129" s="47"/>
      <c r="H129" s="4"/>
      <c r="I129" s="4"/>
      <c r="J129" s="4"/>
      <c r="K129" s="4"/>
      <c r="L129" s="47"/>
      <c r="M129" s="68"/>
      <c r="N129" s="66"/>
      <c r="O129" s="58"/>
      <c r="P129" s="4"/>
      <c r="Q129" s="216"/>
      <c r="R129" s="217"/>
      <c r="S129" s="193"/>
      <c r="T129" s="64"/>
      <c r="U129" s="64"/>
      <c r="V129" s="220"/>
      <c r="W129" s="221"/>
      <c r="X129" s="1"/>
      <c r="Y129" s="6"/>
      <c r="Z129" s="12"/>
      <c r="AA129" s="12"/>
      <c r="AB129" s="12"/>
      <c r="AC129" s="14"/>
      <c r="AD129" s="14"/>
      <c r="AE129" s="14"/>
    </row>
    <row r="130" spans="1:32" x14ac:dyDescent="0.2">
      <c r="A130" s="2"/>
      <c r="B130" s="93"/>
      <c r="C130" s="3"/>
      <c r="D130" s="199"/>
      <c r="E130" s="4"/>
      <c r="F130" s="4"/>
      <c r="G130" s="4"/>
      <c r="H130" s="4"/>
      <c r="I130" s="4"/>
      <c r="J130" s="4"/>
      <c r="K130" s="4"/>
      <c r="L130" s="4"/>
      <c r="M130" s="105"/>
      <c r="N130" s="3"/>
      <c r="O130" s="58"/>
      <c r="P130" s="4"/>
      <c r="Q130" s="216"/>
      <c r="R130" s="217"/>
      <c r="S130" s="193"/>
      <c r="T130" s="3"/>
      <c r="U130" s="3"/>
      <c r="V130" s="220"/>
      <c r="W130" s="221"/>
      <c r="X130" s="1"/>
      <c r="Y130" s="6"/>
      <c r="Z130" s="12"/>
      <c r="AA130" s="12"/>
      <c r="AB130" s="12"/>
      <c r="AC130" s="14"/>
      <c r="AD130" s="14"/>
      <c r="AE130" s="14"/>
    </row>
    <row r="131" spans="1:32" ht="12" thickBot="1" x14ac:dyDescent="0.25">
      <c r="A131" s="40"/>
      <c r="B131" s="198"/>
      <c r="C131" s="9"/>
      <c r="D131" s="77"/>
      <c r="E131" s="8"/>
      <c r="F131" s="8"/>
      <c r="G131" s="8"/>
      <c r="H131" s="8"/>
      <c r="I131" s="8"/>
      <c r="J131" s="8"/>
      <c r="K131" s="8"/>
      <c r="L131" s="8"/>
      <c r="M131" s="106"/>
      <c r="N131" s="9"/>
      <c r="O131" s="60"/>
      <c r="P131" s="8"/>
      <c r="Q131" s="224"/>
      <c r="R131" s="225"/>
      <c r="S131" s="197"/>
      <c r="T131" s="9"/>
      <c r="U131" s="9"/>
      <c r="V131" s="226"/>
      <c r="W131" s="227"/>
      <c r="X131" s="1"/>
      <c r="Y131" s="6"/>
      <c r="Z131" s="12"/>
      <c r="AA131" s="12"/>
      <c r="AB131" s="12"/>
      <c r="AC131" s="14"/>
      <c r="AD131" s="14"/>
      <c r="AE131" s="14"/>
    </row>
    <row r="132" spans="1:32" x14ac:dyDescent="0.2">
      <c r="A132" s="10"/>
      <c r="K132" s="11"/>
      <c r="L132" s="11"/>
      <c r="M132" s="1"/>
      <c r="N132" s="13"/>
      <c r="U132" s="14"/>
      <c r="V132" s="6"/>
      <c r="W132" s="1"/>
      <c r="X132" s="6"/>
      <c r="Y132" s="12"/>
      <c r="Z132" s="12"/>
      <c r="AA132" s="12"/>
      <c r="AB132" s="14"/>
      <c r="AC132" s="14"/>
      <c r="AD132" s="14"/>
    </row>
    <row r="133" spans="1:32" x14ac:dyDescent="0.2">
      <c r="A133" s="10"/>
      <c r="C133" s="11"/>
      <c r="E133" s="11"/>
      <c r="F133" s="11"/>
      <c r="G133" s="11"/>
      <c r="H133" s="11"/>
      <c r="I133" s="11"/>
      <c r="L133" s="28" t="s">
        <v>25</v>
      </c>
      <c r="M133" s="29">
        <f>SUM(M121:M131)</f>
        <v>11545</v>
      </c>
      <c r="N133" s="24" t="s">
        <v>46</v>
      </c>
      <c r="O133" s="25">
        <f>SUM(O121:O131)</f>
        <v>21000</v>
      </c>
      <c r="W133" s="6"/>
      <c r="X133" s="1"/>
      <c r="Y133" s="6"/>
      <c r="Z133" s="12"/>
      <c r="AA133" s="12"/>
      <c r="AB133" s="12"/>
      <c r="AC133" s="14"/>
      <c r="AD133" s="14"/>
      <c r="AE133" s="14"/>
    </row>
    <row r="134" spans="1:32" ht="12.75" x14ac:dyDescent="0.2">
      <c r="A134" s="38" t="s">
        <v>62</v>
      </c>
      <c r="K134" s="11"/>
      <c r="L134" s="11"/>
      <c r="M134" s="11"/>
      <c r="N134" s="11"/>
      <c r="O134" s="71" t="s">
        <v>68</v>
      </c>
      <c r="P134" s="71" t="s">
        <v>69</v>
      </c>
      <c r="W134" s="6"/>
      <c r="X134" s="1"/>
      <c r="Y134" s="6"/>
      <c r="Z134" s="12"/>
      <c r="AA134" s="12"/>
      <c r="AB134" s="12"/>
      <c r="AC134" s="14"/>
      <c r="AD134" s="14"/>
      <c r="AE134" s="14"/>
    </row>
    <row r="135" spans="1:32" x14ac:dyDescent="0.2">
      <c r="A135" s="10"/>
      <c r="L135" s="28"/>
      <c r="M135" s="28"/>
      <c r="N135" s="28" t="s">
        <v>22</v>
      </c>
      <c r="O135" s="30">
        <f>SUMIF(U120:U131,"GOODS",$O$120:$O$131)</f>
        <v>21000</v>
      </c>
      <c r="P135" s="73">
        <f>COUNTIFS(U120:U131,"GOODS",$O$120:$O$131,"&gt;=1")</f>
        <v>2</v>
      </c>
      <c r="W135" s="6"/>
      <c r="X135" s="1"/>
      <c r="Y135" s="6"/>
      <c r="Z135" s="12"/>
      <c r="AA135" s="12"/>
      <c r="AB135" s="12"/>
      <c r="AC135" s="14"/>
      <c r="AD135" s="14"/>
      <c r="AE135" s="14"/>
    </row>
    <row r="136" spans="1:32" x14ac:dyDescent="0.2">
      <c r="A136" s="10"/>
      <c r="L136" s="28"/>
      <c r="M136" s="28"/>
      <c r="N136" s="28" t="s">
        <v>23</v>
      </c>
      <c r="O136" s="30">
        <f>SUMIF(U120:U131,"SERVICES",$O$120:$O$131)</f>
        <v>0</v>
      </c>
      <c r="P136" s="73">
        <f>COUNTIFS(U120:U131,"SERVICES",$O$120:$O$131,"&gt;=1")</f>
        <v>0</v>
      </c>
      <c r="V136" s="1"/>
      <c r="X136" s="6"/>
      <c r="Z136" s="6"/>
      <c r="AA136" s="12"/>
      <c r="AB136" s="12"/>
      <c r="AC136" s="12"/>
      <c r="AD136" s="14"/>
      <c r="AE136" s="14"/>
      <c r="AF136" s="14"/>
    </row>
    <row r="137" spans="1:32" x14ac:dyDescent="0.2">
      <c r="A137" s="10"/>
      <c r="L137" s="28"/>
      <c r="M137" s="28"/>
      <c r="N137" s="28" t="s">
        <v>24</v>
      </c>
      <c r="O137" s="30">
        <f>SUMIF(U120:U131,"CONSTRUCTION",$O$120:$O$131)</f>
        <v>0</v>
      </c>
      <c r="P137" s="73">
        <f>COUNTIFS(U120:U131,"CONSTRUCTION",$O$120:$O$131,"&gt;=1")</f>
        <v>0</v>
      </c>
      <c r="V137" s="1"/>
      <c r="X137" s="6"/>
      <c r="Z137" s="6"/>
      <c r="AA137" s="12"/>
      <c r="AB137" s="12"/>
      <c r="AC137" s="12"/>
      <c r="AD137" s="14"/>
      <c r="AE137" s="14"/>
      <c r="AF137" s="14"/>
    </row>
    <row r="138" spans="1:32" x14ac:dyDescent="0.2">
      <c r="A138" s="10"/>
      <c r="B138" s="14"/>
      <c r="C138" s="14"/>
      <c r="D138" s="46"/>
      <c r="L138" s="1"/>
      <c r="M138" s="1"/>
      <c r="N138" s="1"/>
      <c r="O138" s="74">
        <f>SUM(O135:O137)</f>
        <v>21000</v>
      </c>
      <c r="P138" s="72">
        <f>SUM(P135:P137)</f>
        <v>2</v>
      </c>
      <c r="U138" s="14"/>
      <c r="X138" s="6"/>
      <c r="Z138" s="6"/>
      <c r="AA138" s="12"/>
      <c r="AB138" s="12"/>
      <c r="AC138" s="12"/>
      <c r="AD138" s="14"/>
      <c r="AE138" s="14"/>
      <c r="AF138" s="14"/>
    </row>
    <row r="139" spans="1:32" ht="15.75" x14ac:dyDescent="0.25">
      <c r="A139" s="88" t="s">
        <v>31</v>
      </c>
      <c r="B139" s="88"/>
      <c r="L139" s="1"/>
      <c r="M139" s="1"/>
      <c r="N139" s="1"/>
      <c r="V139" s="1"/>
      <c r="W139" s="1"/>
      <c r="X139" s="1"/>
      <c r="Y139" s="12"/>
      <c r="Z139" s="12"/>
      <c r="AA139" s="14"/>
      <c r="AB139" s="14"/>
      <c r="AC139" s="14"/>
    </row>
    <row r="140" spans="1:32" ht="15.75" x14ac:dyDescent="0.25">
      <c r="A140" s="88" t="str">
        <f>A10</f>
        <v>FISCAL YEAR 2021-2022</v>
      </c>
      <c r="B140" s="88"/>
      <c r="L140" s="1"/>
      <c r="M140" s="1"/>
      <c r="N140" s="1"/>
      <c r="V140" s="1"/>
      <c r="W140" s="12"/>
      <c r="Y140" s="14"/>
      <c r="Z140" s="14"/>
    </row>
    <row r="141" spans="1:32" ht="12" thickBot="1" x14ac:dyDescent="0.25">
      <c r="M141" s="1"/>
      <c r="N141" s="1"/>
      <c r="S141" s="14"/>
      <c r="T141" s="14"/>
      <c r="U141" s="23"/>
      <c r="V141" s="1"/>
      <c r="W141" s="1"/>
      <c r="X141" s="1"/>
    </row>
    <row r="142" spans="1:32" ht="11.45" customHeight="1" x14ac:dyDescent="0.2">
      <c r="A142" s="17"/>
      <c r="B142" s="17"/>
      <c r="C142" s="17"/>
      <c r="D142" s="41"/>
      <c r="E142" s="17"/>
      <c r="F142" s="17"/>
      <c r="G142" s="17"/>
      <c r="H142" s="17"/>
      <c r="I142" s="17"/>
      <c r="J142" s="18"/>
      <c r="K142" s="18" t="s">
        <v>10</v>
      </c>
      <c r="L142" s="18" t="s">
        <v>47</v>
      </c>
      <c r="M142" s="18" t="s">
        <v>37</v>
      </c>
      <c r="N142" s="17"/>
      <c r="O142" s="17"/>
      <c r="P142" s="210"/>
      <c r="Q142" s="211"/>
      <c r="R142" s="18"/>
      <c r="S142" s="18"/>
      <c r="T142" s="18"/>
      <c r="U142" s="17"/>
      <c r="V142" s="1"/>
      <c r="W142" s="1"/>
      <c r="X142" s="1"/>
    </row>
    <row r="143" spans="1:32" ht="11.45" customHeight="1" x14ac:dyDescent="0.2">
      <c r="A143" s="19" t="s">
        <v>17</v>
      </c>
      <c r="B143" s="19" t="s">
        <v>1</v>
      </c>
      <c r="C143" s="19" t="s">
        <v>17</v>
      </c>
      <c r="D143" s="42" t="s">
        <v>39</v>
      </c>
      <c r="E143" s="19" t="s">
        <v>2</v>
      </c>
      <c r="F143" s="19" t="s">
        <v>17</v>
      </c>
      <c r="G143" s="19" t="s">
        <v>41</v>
      </c>
      <c r="H143" s="19" t="s">
        <v>41</v>
      </c>
      <c r="I143" s="19" t="s">
        <v>41</v>
      </c>
      <c r="J143" s="19" t="s">
        <v>41</v>
      </c>
      <c r="K143" s="19" t="s">
        <v>3</v>
      </c>
      <c r="L143" s="19" t="s">
        <v>49</v>
      </c>
      <c r="M143" s="19" t="s">
        <v>38</v>
      </c>
      <c r="N143" s="19" t="s">
        <v>4</v>
      </c>
      <c r="O143" s="19" t="s">
        <v>4</v>
      </c>
      <c r="P143" s="212" t="s">
        <v>14</v>
      </c>
      <c r="Q143" s="213"/>
      <c r="R143" s="19" t="s">
        <v>15</v>
      </c>
      <c r="S143" s="19" t="s">
        <v>21</v>
      </c>
      <c r="T143" s="19" t="s">
        <v>26</v>
      </c>
      <c r="U143" s="19" t="s">
        <v>65</v>
      </c>
      <c r="V143" s="1"/>
      <c r="W143" s="1"/>
      <c r="X143" s="1"/>
    </row>
    <row r="144" spans="1:32" ht="11.45" customHeight="1" x14ac:dyDescent="0.2">
      <c r="A144" s="19" t="s">
        <v>5</v>
      </c>
      <c r="B144" s="19"/>
      <c r="C144" s="19" t="s">
        <v>39</v>
      </c>
      <c r="D144" s="42" t="s">
        <v>40</v>
      </c>
      <c r="E144" s="19" t="s">
        <v>7</v>
      </c>
      <c r="F144" s="19" t="s">
        <v>64</v>
      </c>
      <c r="G144" s="19" t="s">
        <v>42</v>
      </c>
      <c r="H144" s="19" t="s">
        <v>43</v>
      </c>
      <c r="I144" s="19" t="s">
        <v>44</v>
      </c>
      <c r="J144" s="19" t="s">
        <v>45</v>
      </c>
      <c r="K144" s="19" t="s">
        <v>6</v>
      </c>
      <c r="L144" s="19" t="s">
        <v>13</v>
      </c>
      <c r="M144" s="19" t="s">
        <v>4</v>
      </c>
      <c r="N144" s="19" t="s">
        <v>9</v>
      </c>
      <c r="O144" s="19" t="s">
        <v>6</v>
      </c>
      <c r="P144" s="212"/>
      <c r="Q144" s="213"/>
      <c r="R144" s="19"/>
      <c r="S144" s="19" t="s">
        <v>28</v>
      </c>
      <c r="T144" s="19" t="s">
        <v>27</v>
      </c>
      <c r="U144" s="108"/>
      <c r="V144" s="1"/>
      <c r="W144" s="1"/>
      <c r="X144" s="1"/>
    </row>
    <row r="145" spans="1:24" ht="2.25" customHeight="1" thickBot="1" x14ac:dyDescent="0.25">
      <c r="A145" s="21"/>
      <c r="B145" s="20"/>
      <c r="C145" s="22"/>
      <c r="D145" s="43"/>
      <c r="E145" s="20"/>
      <c r="F145" s="22"/>
      <c r="G145" s="22"/>
      <c r="H145" s="22"/>
      <c r="I145" s="22"/>
      <c r="J145" s="22"/>
      <c r="K145" s="20"/>
      <c r="L145" s="20"/>
      <c r="M145" s="20"/>
      <c r="N145" s="20"/>
      <c r="O145" s="20"/>
      <c r="P145" s="214"/>
      <c r="Q145" s="215"/>
      <c r="R145" s="20"/>
      <c r="S145" s="20"/>
      <c r="T145" s="20"/>
      <c r="U145" s="20"/>
      <c r="V145" s="1"/>
      <c r="W145" s="1"/>
      <c r="X145" s="1"/>
    </row>
    <row r="146" spans="1:24" x14ac:dyDescent="0.2">
      <c r="A146" s="3" t="s">
        <v>2455</v>
      </c>
      <c r="B146" s="93" t="s">
        <v>2456</v>
      </c>
      <c r="C146" s="5" t="s">
        <v>86</v>
      </c>
      <c r="D146" s="44" t="s">
        <v>86</v>
      </c>
      <c r="E146" s="5" t="s">
        <v>2547</v>
      </c>
      <c r="F146" s="49" t="s">
        <v>2549</v>
      </c>
      <c r="G146" s="49" t="s">
        <v>2548</v>
      </c>
      <c r="H146" s="5"/>
      <c r="I146" s="5"/>
      <c r="J146" s="5"/>
      <c r="K146" s="5">
        <v>44495</v>
      </c>
      <c r="L146" s="3">
        <v>1</v>
      </c>
      <c r="M146" s="44" t="s">
        <v>86</v>
      </c>
      <c r="N146" s="56">
        <v>0</v>
      </c>
      <c r="O146" s="4"/>
      <c r="P146" s="228"/>
      <c r="Q146" s="229"/>
      <c r="R146" s="109"/>
      <c r="S146" s="110" t="s">
        <v>72</v>
      </c>
      <c r="T146" s="110" t="s">
        <v>23</v>
      </c>
      <c r="U146" s="111"/>
      <c r="V146" s="1"/>
      <c r="W146" s="1"/>
      <c r="X146" s="1"/>
    </row>
    <row r="147" spans="1:24" x14ac:dyDescent="0.2">
      <c r="A147" s="112" t="s">
        <v>2457</v>
      </c>
      <c r="B147" s="93" t="s">
        <v>2458</v>
      </c>
      <c r="C147" s="5" t="s">
        <v>86</v>
      </c>
      <c r="D147" s="44" t="s">
        <v>86</v>
      </c>
      <c r="E147" s="5" t="s">
        <v>86</v>
      </c>
      <c r="F147" s="4" t="s">
        <v>86</v>
      </c>
      <c r="G147" s="49"/>
      <c r="H147" s="49"/>
      <c r="I147" s="5"/>
      <c r="J147" s="5"/>
      <c r="K147" s="5" t="s">
        <v>86</v>
      </c>
      <c r="L147" s="3" t="s">
        <v>86</v>
      </c>
      <c r="M147" s="49" t="s">
        <v>2469</v>
      </c>
      <c r="N147" s="58">
        <v>90000</v>
      </c>
      <c r="O147" s="4">
        <v>44480</v>
      </c>
      <c r="P147" s="222" t="s">
        <v>2459</v>
      </c>
      <c r="Q147" s="223"/>
      <c r="R147" s="91"/>
      <c r="S147" s="110" t="s">
        <v>87</v>
      </c>
      <c r="T147" s="110" t="s">
        <v>23</v>
      </c>
      <c r="U147" s="113" t="s">
        <v>2460</v>
      </c>
      <c r="V147" s="1"/>
      <c r="W147" s="1"/>
      <c r="X147" s="1"/>
    </row>
    <row r="148" spans="1:24" x14ac:dyDescent="0.2">
      <c r="A148" s="3" t="s">
        <v>2630</v>
      </c>
      <c r="B148" s="93" t="s">
        <v>1991</v>
      </c>
      <c r="C148" s="5" t="s">
        <v>86</v>
      </c>
      <c r="D148" s="44" t="s">
        <v>86</v>
      </c>
      <c r="E148" s="5" t="s">
        <v>86</v>
      </c>
      <c r="F148" s="49" t="s">
        <v>2670</v>
      </c>
      <c r="G148" s="49"/>
      <c r="H148" s="49"/>
      <c r="I148" s="5"/>
      <c r="J148" s="5"/>
      <c r="K148" s="5">
        <v>44586</v>
      </c>
      <c r="L148" s="3"/>
      <c r="M148" s="3"/>
      <c r="N148" s="58"/>
      <c r="O148" s="4"/>
      <c r="P148" s="222"/>
      <c r="Q148" s="223"/>
      <c r="R148" s="91"/>
      <c r="S148" s="110" t="s">
        <v>72</v>
      </c>
      <c r="T148" s="110" t="s">
        <v>22</v>
      </c>
      <c r="U148" s="113"/>
      <c r="V148" s="1"/>
      <c r="W148" s="1"/>
      <c r="X148" s="1"/>
    </row>
    <row r="149" spans="1:24" x14ac:dyDescent="0.2">
      <c r="A149" s="112" t="s">
        <v>2646</v>
      </c>
      <c r="B149" s="93" t="s">
        <v>2647</v>
      </c>
      <c r="C149" s="96"/>
      <c r="D149" s="2"/>
      <c r="E149" s="4"/>
      <c r="F149" s="4"/>
      <c r="G149" s="4"/>
      <c r="H149" s="4"/>
      <c r="I149" s="4"/>
      <c r="J149" s="4"/>
      <c r="K149" s="5"/>
      <c r="L149" s="3"/>
      <c r="M149" s="3"/>
      <c r="N149" s="58"/>
      <c r="O149" s="4"/>
      <c r="P149" s="222"/>
      <c r="Q149" s="223"/>
      <c r="R149" s="91"/>
      <c r="S149" s="110"/>
      <c r="T149" s="110"/>
      <c r="U149" s="113"/>
      <c r="V149" s="1"/>
      <c r="W149" s="1"/>
      <c r="X149" s="1"/>
    </row>
    <row r="150" spans="1:24" ht="12" thickBot="1" x14ac:dyDescent="0.25">
      <c r="A150" s="114"/>
      <c r="B150" s="115"/>
      <c r="C150" s="116"/>
      <c r="D150" s="7"/>
      <c r="E150" s="8"/>
      <c r="F150" s="8"/>
      <c r="G150" s="8"/>
      <c r="H150" s="8"/>
      <c r="I150" s="8"/>
      <c r="J150" s="8"/>
      <c r="K150" s="117"/>
      <c r="L150" s="9"/>
      <c r="M150" s="9"/>
      <c r="N150" s="60"/>
      <c r="O150" s="8"/>
      <c r="P150" s="230"/>
      <c r="Q150" s="231"/>
      <c r="R150" s="62"/>
      <c r="S150" s="118"/>
      <c r="T150" s="118"/>
      <c r="U150" s="119"/>
      <c r="V150" s="1"/>
      <c r="W150" s="1"/>
      <c r="X150" s="1"/>
    </row>
    <row r="151" spans="1:24" x14ac:dyDescent="0.2">
      <c r="L151" s="1"/>
      <c r="M151" s="1"/>
      <c r="N151" s="1"/>
      <c r="V151" s="1"/>
      <c r="W151" s="1"/>
      <c r="X151" s="1"/>
    </row>
    <row r="152" spans="1:24" x14ac:dyDescent="0.2">
      <c r="K152" s="28" t="s">
        <v>35</v>
      </c>
      <c r="L152" s="1"/>
      <c r="M152" s="24" t="s">
        <v>46</v>
      </c>
      <c r="N152" s="25">
        <f>SUM(N146:N150)</f>
        <v>90000</v>
      </c>
      <c r="V152" s="1"/>
      <c r="W152" s="1"/>
      <c r="X152" s="1"/>
    </row>
    <row r="153" spans="1:24" ht="12.75" x14ac:dyDescent="0.2">
      <c r="A153" s="37" t="s">
        <v>62</v>
      </c>
      <c r="K153" s="11"/>
      <c r="L153" s="1"/>
      <c r="M153" s="1"/>
      <c r="N153" s="71" t="s">
        <v>68</v>
      </c>
      <c r="O153" s="71" t="s">
        <v>69</v>
      </c>
      <c r="V153" s="1"/>
      <c r="W153" s="1"/>
      <c r="X153" s="1"/>
    </row>
    <row r="154" spans="1:24" x14ac:dyDescent="0.2">
      <c r="K154" s="28"/>
      <c r="L154" s="1"/>
      <c r="M154" s="28" t="s">
        <v>22</v>
      </c>
      <c r="N154" s="30">
        <f>SUMIF(T146:T150,"GOODS",$N$146:$N$150)</f>
        <v>0</v>
      </c>
      <c r="O154" s="73">
        <f>COUNTIFS(T145:T150,"GOODS",$N$145:$N$150,"&gt;=1")</f>
        <v>0</v>
      </c>
      <c r="V154" s="1"/>
      <c r="W154" s="1"/>
      <c r="X154" s="1"/>
    </row>
    <row r="155" spans="1:24" x14ac:dyDescent="0.2">
      <c r="K155" s="28"/>
      <c r="L155" s="1"/>
      <c r="M155" s="28" t="s">
        <v>23</v>
      </c>
      <c r="N155" s="30">
        <f>SUMIF(T146:T150,"SERVICES",$N$146:$N$150)</f>
        <v>90000</v>
      </c>
      <c r="O155" s="73">
        <f>COUNTIFS(T145:T150,"SERVICES",$N$145:$N$150,"&gt;=1")</f>
        <v>1</v>
      </c>
      <c r="V155" s="1"/>
      <c r="W155" s="1"/>
      <c r="X155" s="1"/>
    </row>
    <row r="156" spans="1:24" x14ac:dyDescent="0.2">
      <c r="G156" s="28"/>
      <c r="H156" s="28"/>
      <c r="I156" s="28"/>
      <c r="J156" s="28"/>
      <c r="K156" s="30"/>
      <c r="L156" s="1"/>
      <c r="M156" s="28" t="s">
        <v>24</v>
      </c>
      <c r="N156" s="30">
        <f>SUMIF(T147:T151,"CONSTRUCTION",$N$146:$N$150)</f>
        <v>0</v>
      </c>
      <c r="O156" s="73">
        <f>COUNTIFS(T145:T150,"CONSTRUCTION",$N$145:$N$150,"&gt;=1")</f>
        <v>0</v>
      </c>
      <c r="V156" s="1"/>
      <c r="W156" s="1"/>
      <c r="X156" s="1"/>
    </row>
    <row r="157" spans="1:24" x14ac:dyDescent="0.2">
      <c r="A157" s="10"/>
      <c r="B157" s="14"/>
      <c r="K157" s="11"/>
      <c r="M157" s="6"/>
      <c r="N157" s="74">
        <f>SUM(N154:N156)</f>
        <v>90000</v>
      </c>
      <c r="O157" s="72">
        <f>SUM(O154:O156)</f>
        <v>1</v>
      </c>
      <c r="P157" s="12"/>
      <c r="Q157" s="12"/>
      <c r="R157" s="12"/>
      <c r="S157" s="14"/>
      <c r="T157" s="14"/>
      <c r="U157" s="14"/>
      <c r="V157" s="1"/>
      <c r="W157" s="1"/>
      <c r="X157" s="1"/>
    </row>
    <row r="158" spans="1:24" ht="15.75" x14ac:dyDescent="0.25">
      <c r="A158" s="88" t="s">
        <v>59</v>
      </c>
      <c r="B158" s="88"/>
      <c r="L158" s="1"/>
      <c r="M158" s="1"/>
      <c r="N158" s="1"/>
      <c r="V158" s="1"/>
      <c r="W158" s="1"/>
      <c r="X158" s="1"/>
    </row>
    <row r="159" spans="1:24" ht="15.75" x14ac:dyDescent="0.25">
      <c r="A159" s="88" t="str">
        <f>A10</f>
        <v>FISCAL YEAR 2021-2022</v>
      </c>
      <c r="B159" s="88"/>
      <c r="L159" s="1"/>
      <c r="M159" s="1"/>
      <c r="N159" s="1"/>
      <c r="V159" s="1"/>
      <c r="W159" s="1"/>
      <c r="X159" s="1"/>
    </row>
    <row r="160" spans="1:24" ht="12" thickBot="1" x14ac:dyDescent="0.25">
      <c r="S160" s="14"/>
      <c r="T160" s="14"/>
      <c r="U160" s="23"/>
      <c r="V160" s="1"/>
      <c r="W160" s="1"/>
      <c r="X160" s="1"/>
    </row>
    <row r="161" spans="1:34" ht="11.45" customHeight="1" x14ac:dyDescent="0.2">
      <c r="A161" s="17"/>
      <c r="B161" s="17"/>
      <c r="C161" s="17"/>
      <c r="D161" s="41"/>
      <c r="E161" s="17"/>
      <c r="F161" s="17"/>
      <c r="G161" s="17"/>
      <c r="H161" s="17"/>
      <c r="I161" s="17"/>
      <c r="J161" s="18"/>
      <c r="K161" s="18" t="s">
        <v>10</v>
      </c>
      <c r="L161" s="18"/>
      <c r="M161" s="18" t="s">
        <v>52</v>
      </c>
      <c r="N161" s="18" t="s">
        <v>47</v>
      </c>
      <c r="O161" s="18" t="s">
        <v>37</v>
      </c>
      <c r="P161" s="17"/>
      <c r="Q161" s="17"/>
      <c r="R161" s="18"/>
      <c r="S161" s="18"/>
      <c r="T161" s="18"/>
      <c r="U161" s="18"/>
      <c r="V161" s="1"/>
      <c r="W161" s="1"/>
      <c r="X161" s="1"/>
    </row>
    <row r="162" spans="1:34" ht="11.45" customHeight="1" x14ac:dyDescent="0.2">
      <c r="A162" s="19" t="s">
        <v>11</v>
      </c>
      <c r="B162" s="19" t="s">
        <v>1</v>
      </c>
      <c r="C162" s="19" t="s">
        <v>11</v>
      </c>
      <c r="D162" s="42" t="s">
        <v>39</v>
      </c>
      <c r="E162" s="19" t="s">
        <v>2</v>
      </c>
      <c r="F162" s="19" t="s">
        <v>11</v>
      </c>
      <c r="G162" s="19" t="s">
        <v>41</v>
      </c>
      <c r="H162" s="19" t="s">
        <v>41</v>
      </c>
      <c r="I162" s="19" t="s">
        <v>41</v>
      </c>
      <c r="J162" s="19" t="s">
        <v>41</v>
      </c>
      <c r="K162" s="19" t="s">
        <v>3</v>
      </c>
      <c r="L162" s="19" t="s">
        <v>51</v>
      </c>
      <c r="M162" s="19" t="s">
        <v>49</v>
      </c>
      <c r="N162" s="19" t="s">
        <v>49</v>
      </c>
      <c r="O162" s="19" t="s">
        <v>38</v>
      </c>
      <c r="P162" s="19" t="s">
        <v>4</v>
      </c>
      <c r="Q162" s="19" t="s">
        <v>4</v>
      </c>
      <c r="R162" s="19" t="s">
        <v>14</v>
      </c>
      <c r="S162" s="19" t="s">
        <v>21</v>
      </c>
      <c r="T162" s="19" t="s">
        <v>26</v>
      </c>
      <c r="U162" s="19" t="s">
        <v>65</v>
      </c>
      <c r="V162" s="1"/>
      <c r="W162" s="1"/>
      <c r="X162" s="1"/>
    </row>
    <row r="163" spans="1:34" ht="11.45" customHeight="1" x14ac:dyDescent="0.2">
      <c r="A163" s="19" t="s">
        <v>5</v>
      </c>
      <c r="B163" s="19"/>
      <c r="C163" s="19" t="s">
        <v>39</v>
      </c>
      <c r="D163" s="42" t="s">
        <v>40</v>
      </c>
      <c r="E163" s="19" t="s">
        <v>7</v>
      </c>
      <c r="F163" s="19" t="s">
        <v>64</v>
      </c>
      <c r="G163" s="19" t="s">
        <v>42</v>
      </c>
      <c r="H163" s="19" t="s">
        <v>43</v>
      </c>
      <c r="I163" s="19" t="s">
        <v>44</v>
      </c>
      <c r="J163" s="19" t="s">
        <v>45</v>
      </c>
      <c r="K163" s="19" t="s">
        <v>6</v>
      </c>
      <c r="L163" s="19" t="s">
        <v>36</v>
      </c>
      <c r="M163" s="19" t="s">
        <v>13</v>
      </c>
      <c r="N163" s="19" t="s">
        <v>13</v>
      </c>
      <c r="O163" s="19" t="s">
        <v>4</v>
      </c>
      <c r="P163" s="19" t="s">
        <v>9</v>
      </c>
      <c r="Q163" s="19" t="s">
        <v>6</v>
      </c>
      <c r="R163" s="19"/>
      <c r="S163" s="19" t="s">
        <v>28</v>
      </c>
      <c r="T163" s="19" t="s">
        <v>27</v>
      </c>
      <c r="U163" s="19"/>
      <c r="V163" s="1"/>
      <c r="W163" s="1"/>
      <c r="X163" s="1"/>
    </row>
    <row r="164" spans="1:34" ht="2.25" customHeight="1" thickBot="1" x14ac:dyDescent="0.25">
      <c r="A164" s="21"/>
      <c r="B164" s="20"/>
      <c r="C164" s="22"/>
      <c r="D164" s="43"/>
      <c r="E164" s="20"/>
      <c r="F164" s="22"/>
      <c r="G164" s="22"/>
      <c r="H164" s="22"/>
      <c r="I164" s="22"/>
      <c r="J164" s="22"/>
      <c r="K164" s="20"/>
      <c r="L164" s="20"/>
      <c r="M164" s="20"/>
      <c r="N164" s="20"/>
      <c r="O164" s="20"/>
      <c r="P164" s="20"/>
      <c r="Q164" s="20"/>
      <c r="R164" s="20"/>
      <c r="S164" s="20"/>
      <c r="T164" s="20"/>
      <c r="U164" s="20"/>
      <c r="V164" s="1"/>
      <c r="W164" s="1"/>
      <c r="X164" s="1"/>
    </row>
    <row r="165" spans="1:34" x14ac:dyDescent="0.2">
      <c r="A165" s="3" t="s">
        <v>2461</v>
      </c>
      <c r="B165" s="93" t="s">
        <v>2546</v>
      </c>
      <c r="C165" s="5">
        <v>44501</v>
      </c>
      <c r="D165" s="49" t="s">
        <v>2551</v>
      </c>
      <c r="E165" s="4" t="s">
        <v>2545</v>
      </c>
      <c r="F165" s="49" t="s">
        <v>2562</v>
      </c>
      <c r="G165" s="49" t="s">
        <v>2612</v>
      </c>
      <c r="H165" s="47"/>
      <c r="I165" s="47"/>
      <c r="J165" s="4"/>
      <c r="K165" s="5">
        <v>44523</v>
      </c>
      <c r="L165" s="49" t="s">
        <v>2586</v>
      </c>
      <c r="M165" s="120">
        <v>1198400</v>
      </c>
      <c r="N165" s="3">
        <v>1</v>
      </c>
      <c r="O165" s="49" t="s">
        <v>2620</v>
      </c>
      <c r="P165" s="61">
        <v>1198400</v>
      </c>
      <c r="Q165" s="4">
        <v>44543</v>
      </c>
      <c r="R165" s="91"/>
      <c r="S165" s="110" t="s">
        <v>72</v>
      </c>
      <c r="T165" s="110" t="s">
        <v>24</v>
      </c>
      <c r="U165" s="83"/>
      <c r="W165" s="6"/>
      <c r="X165" s="1"/>
      <c r="Y165" s="6"/>
      <c r="Z165" s="12"/>
      <c r="AA165" s="12"/>
      <c r="AB165" s="12"/>
      <c r="AC165" s="14"/>
      <c r="AD165" s="14"/>
      <c r="AE165" s="14"/>
    </row>
    <row r="166" spans="1:34" x14ac:dyDescent="0.2">
      <c r="A166" s="3" t="s">
        <v>2642</v>
      </c>
      <c r="B166" s="93" t="s">
        <v>2643</v>
      </c>
      <c r="C166" s="96"/>
      <c r="D166" s="48"/>
      <c r="E166" s="3"/>
      <c r="F166" s="50"/>
      <c r="G166" s="50"/>
      <c r="H166" s="50"/>
      <c r="I166" s="3"/>
      <c r="J166" s="3"/>
      <c r="K166" s="5"/>
      <c r="L166" s="51"/>
      <c r="M166" s="89"/>
      <c r="N166" s="3"/>
      <c r="O166" s="110"/>
      <c r="P166" s="58"/>
      <c r="Q166" s="4"/>
      <c r="R166" s="91"/>
      <c r="S166" s="110"/>
      <c r="T166" s="110"/>
      <c r="U166" s="52"/>
      <c r="W166" s="6"/>
      <c r="X166" s="1"/>
      <c r="Y166" s="6"/>
      <c r="Z166" s="12"/>
      <c r="AA166" s="12"/>
      <c r="AB166" s="12"/>
      <c r="AC166" s="14"/>
      <c r="AD166" s="14"/>
      <c r="AE166" s="14"/>
    </row>
    <row r="167" spans="1:34" x14ac:dyDescent="0.2">
      <c r="A167" s="3"/>
      <c r="B167" s="93"/>
      <c r="C167" s="4"/>
      <c r="D167" s="48"/>
      <c r="E167" s="3"/>
      <c r="F167" s="50"/>
      <c r="G167" s="50"/>
      <c r="H167" s="50"/>
      <c r="I167" s="50"/>
      <c r="J167" s="3"/>
      <c r="K167" s="5"/>
      <c r="L167" s="51"/>
      <c r="M167" s="89"/>
      <c r="N167" s="3"/>
      <c r="O167" s="110"/>
      <c r="P167" s="58"/>
      <c r="Q167" s="4"/>
      <c r="R167" s="91"/>
      <c r="S167" s="110"/>
      <c r="T167" s="110"/>
      <c r="U167" s="52"/>
      <c r="W167" s="6"/>
      <c r="X167" s="1"/>
      <c r="Y167" s="6"/>
      <c r="Z167" s="12"/>
      <c r="AA167" s="12"/>
      <c r="AB167" s="12"/>
      <c r="AC167" s="14"/>
      <c r="AD167" s="14"/>
      <c r="AE167" s="14"/>
    </row>
    <row r="168" spans="1:34" ht="12" thickBot="1" x14ac:dyDescent="0.25">
      <c r="A168" s="9"/>
      <c r="B168" s="121"/>
      <c r="C168" s="9"/>
      <c r="D168" s="7"/>
      <c r="E168" s="9"/>
      <c r="F168" s="9"/>
      <c r="G168" s="9"/>
      <c r="H168" s="9"/>
      <c r="I168" s="9"/>
      <c r="J168" s="9"/>
      <c r="K168" s="9"/>
      <c r="L168" s="9"/>
      <c r="M168" s="9"/>
      <c r="N168" s="9"/>
      <c r="O168" s="9"/>
      <c r="P168" s="60"/>
      <c r="Q168" s="8"/>
      <c r="R168" s="62"/>
      <c r="S168" s="9"/>
      <c r="T168" s="9"/>
      <c r="U168" s="54"/>
      <c r="W168" s="6"/>
      <c r="X168" s="1"/>
      <c r="Y168" s="6"/>
      <c r="Z168" s="11"/>
      <c r="AA168" s="11"/>
      <c r="AB168" s="11"/>
      <c r="AC168" s="14"/>
      <c r="AD168" s="14"/>
      <c r="AE168" s="14"/>
    </row>
    <row r="169" spans="1:34" x14ac:dyDescent="0.2">
      <c r="L169" s="1"/>
      <c r="M169" s="1"/>
      <c r="N169" s="1"/>
      <c r="S169" s="6"/>
      <c r="T169" s="6"/>
      <c r="U169" s="14"/>
      <c r="W169" s="6"/>
      <c r="X169" s="1"/>
      <c r="Y169" s="6"/>
      <c r="Z169" s="11"/>
      <c r="AA169" s="11"/>
      <c r="AB169" s="11"/>
      <c r="AC169" s="14"/>
      <c r="AD169" s="14"/>
      <c r="AE169" s="14"/>
    </row>
    <row r="170" spans="1:34" x14ac:dyDescent="0.2">
      <c r="L170" s="28" t="s">
        <v>34</v>
      </c>
      <c r="M170" s="29">
        <f>SUM(M165:M168)</f>
        <v>1198400</v>
      </c>
      <c r="N170" s="1"/>
      <c r="O170" s="24" t="s">
        <v>46</v>
      </c>
      <c r="P170" s="25">
        <f>SUM(P165:P168)</f>
        <v>1198400</v>
      </c>
      <c r="U170" s="14"/>
      <c r="W170" s="6"/>
      <c r="X170" s="1"/>
      <c r="Y170" s="6"/>
      <c r="Z170" s="11"/>
      <c r="AA170" s="11"/>
      <c r="AB170" s="11"/>
      <c r="AC170" s="14"/>
      <c r="AD170" s="14"/>
      <c r="AE170" s="14"/>
    </row>
    <row r="171" spans="1:34" ht="12.75" x14ac:dyDescent="0.2">
      <c r="A171" s="37" t="s">
        <v>62</v>
      </c>
      <c r="L171" s="11"/>
      <c r="M171" s="1"/>
      <c r="N171" s="11"/>
      <c r="O171" s="11"/>
      <c r="P171" s="71" t="s">
        <v>68</v>
      </c>
      <c r="Q171" s="71" t="s">
        <v>69</v>
      </c>
      <c r="U171" s="14"/>
      <c r="W171" s="6"/>
      <c r="X171" s="1"/>
      <c r="Y171" s="6"/>
      <c r="Z171" s="11"/>
      <c r="AA171" s="11"/>
      <c r="AB171" s="11"/>
      <c r="AC171" s="14"/>
      <c r="AD171" s="14"/>
      <c r="AE171" s="14"/>
    </row>
    <row r="172" spans="1:34" x14ac:dyDescent="0.2">
      <c r="L172" s="28"/>
      <c r="M172" s="1"/>
      <c r="N172" s="30"/>
      <c r="O172" s="28" t="s">
        <v>22</v>
      </c>
      <c r="P172" s="30">
        <f>SUMIF(T165:T168,"GOODS",$P$165:$P$168)</f>
        <v>0</v>
      </c>
      <c r="Q172" s="73">
        <f>COUNTIFS(T164:T168,"GOODS",$P$164:$P$168,"&gt;=1")</f>
        <v>0</v>
      </c>
      <c r="V172" s="1"/>
      <c r="W172" s="1"/>
      <c r="Y172" s="14"/>
      <c r="Z172" s="6"/>
      <c r="AB172" s="6"/>
      <c r="AC172" s="11"/>
      <c r="AD172" s="11"/>
      <c r="AE172" s="11"/>
      <c r="AF172" s="14"/>
      <c r="AG172" s="14"/>
      <c r="AH172" s="14"/>
    </row>
    <row r="173" spans="1:34" x14ac:dyDescent="0.2">
      <c r="L173" s="28"/>
      <c r="M173" s="1"/>
      <c r="N173" s="30"/>
      <c r="O173" s="28" t="s">
        <v>23</v>
      </c>
      <c r="P173" s="30">
        <f>SUMIF(T165:T168,"SERVICES",$P$165:$P$168)</f>
        <v>0</v>
      </c>
      <c r="Q173" s="73">
        <f>COUNTIFS(T164:T168,"SERVICES",$P$164:$P$168,"&gt;=1")</f>
        <v>0</v>
      </c>
      <c r="V173" s="1"/>
      <c r="W173" s="1"/>
      <c r="Y173" s="14"/>
      <c r="Z173" s="6"/>
      <c r="AB173" s="6"/>
      <c r="AC173" s="11"/>
      <c r="AD173" s="11"/>
      <c r="AE173" s="11"/>
      <c r="AF173" s="14"/>
      <c r="AG173" s="14"/>
      <c r="AH173" s="14"/>
    </row>
    <row r="174" spans="1:34" x14ac:dyDescent="0.2">
      <c r="L174" s="28"/>
      <c r="M174" s="1"/>
      <c r="N174" s="30"/>
      <c r="O174" s="28" t="s">
        <v>24</v>
      </c>
      <c r="P174" s="30">
        <f>SUMIF(T165:T168,"CONSTRUCTION",$P$165:$P$168)</f>
        <v>1198400</v>
      </c>
      <c r="Q174" s="73">
        <f>COUNTIFS(T164:T168,"CONSTRUCTION",$P$164:$P$168,"&gt;=1")</f>
        <v>1</v>
      </c>
      <c r="V174" s="1"/>
      <c r="W174" s="1"/>
      <c r="Y174" s="14"/>
      <c r="Z174" s="6"/>
      <c r="AB174" s="6"/>
      <c r="AC174" s="11"/>
      <c r="AD174" s="11"/>
      <c r="AE174" s="11"/>
      <c r="AF174" s="14"/>
      <c r="AG174" s="14"/>
      <c r="AH174" s="14"/>
    </row>
    <row r="175" spans="1:34" x14ac:dyDescent="0.2">
      <c r="L175" s="1"/>
      <c r="M175" s="1"/>
      <c r="N175" s="1"/>
      <c r="P175" s="74">
        <f>SUM(P172:P174)</f>
        <v>1198400</v>
      </c>
      <c r="Q175" s="72">
        <f>SUM(Q172:Q174)</f>
        <v>1</v>
      </c>
      <c r="V175" s="1"/>
      <c r="W175" s="1"/>
      <c r="Y175" s="14"/>
      <c r="Z175" s="6"/>
      <c r="AB175" s="6"/>
      <c r="AC175" s="11"/>
      <c r="AD175" s="11"/>
      <c r="AE175" s="11"/>
      <c r="AF175" s="14"/>
      <c r="AG175" s="14"/>
      <c r="AH175" s="14"/>
    </row>
    <row r="176" spans="1:34" ht="15.75" x14ac:dyDescent="0.25">
      <c r="A176" s="88" t="s">
        <v>30</v>
      </c>
      <c r="B176" s="88"/>
      <c r="L176" s="1"/>
      <c r="M176" s="1"/>
      <c r="N176" s="1"/>
      <c r="V176" s="1"/>
      <c r="W176" s="1"/>
      <c r="X176" s="1"/>
    </row>
    <row r="177" spans="1:30" ht="15.75" x14ac:dyDescent="0.25">
      <c r="A177" s="88" t="str">
        <f>A10</f>
        <v>FISCAL YEAR 2021-2022</v>
      </c>
      <c r="B177" s="88"/>
      <c r="L177" s="1"/>
      <c r="M177" s="1"/>
      <c r="N177" s="1"/>
      <c r="V177" s="1"/>
      <c r="W177" s="1"/>
      <c r="X177" s="1"/>
    </row>
    <row r="178" spans="1:30" ht="12" thickBot="1" x14ac:dyDescent="0.25">
      <c r="M178" s="1"/>
      <c r="N178" s="1"/>
      <c r="R178" s="14"/>
      <c r="S178" s="14"/>
      <c r="T178" s="23"/>
      <c r="V178" s="1"/>
      <c r="W178" s="1"/>
      <c r="X178" s="1"/>
    </row>
    <row r="179" spans="1:30" ht="11.45" customHeight="1" x14ac:dyDescent="0.2">
      <c r="A179" s="17"/>
      <c r="B179" s="17"/>
      <c r="C179" s="17"/>
      <c r="D179" s="41"/>
      <c r="E179" s="17"/>
      <c r="F179" s="17"/>
      <c r="G179" s="17"/>
      <c r="H179" s="17"/>
      <c r="I179" s="17"/>
      <c r="J179" s="18"/>
      <c r="K179" s="18" t="s">
        <v>10</v>
      </c>
      <c r="L179" s="18" t="s">
        <v>47</v>
      </c>
      <c r="M179" s="18" t="s">
        <v>37</v>
      </c>
      <c r="N179" s="17"/>
      <c r="O179" s="17"/>
      <c r="P179" s="210"/>
      <c r="Q179" s="211"/>
      <c r="R179" s="18"/>
      <c r="S179" s="18"/>
      <c r="T179" s="18"/>
      <c r="V179" s="1"/>
      <c r="W179" s="1"/>
      <c r="X179" s="1"/>
    </row>
    <row r="180" spans="1:30" ht="11.45" customHeight="1" x14ac:dyDescent="0.2">
      <c r="A180" s="19" t="s">
        <v>12</v>
      </c>
      <c r="B180" s="19" t="s">
        <v>1</v>
      </c>
      <c r="C180" s="19" t="s">
        <v>71</v>
      </c>
      <c r="D180" s="42" t="s">
        <v>39</v>
      </c>
      <c r="E180" s="19" t="s">
        <v>2</v>
      </c>
      <c r="F180" s="19" t="s">
        <v>71</v>
      </c>
      <c r="G180" s="19" t="s">
        <v>41</v>
      </c>
      <c r="H180" s="19" t="s">
        <v>41</v>
      </c>
      <c r="I180" s="19" t="s">
        <v>41</v>
      </c>
      <c r="J180" s="19" t="s">
        <v>41</v>
      </c>
      <c r="K180" s="19" t="s">
        <v>3</v>
      </c>
      <c r="L180" s="19" t="s">
        <v>48</v>
      </c>
      <c r="M180" s="19" t="s">
        <v>38</v>
      </c>
      <c r="N180" s="19" t="s">
        <v>4</v>
      </c>
      <c r="O180" s="19" t="s">
        <v>4</v>
      </c>
      <c r="P180" s="212" t="s">
        <v>14</v>
      </c>
      <c r="Q180" s="213"/>
      <c r="R180" s="19" t="s">
        <v>21</v>
      </c>
      <c r="S180" s="19" t="s">
        <v>26</v>
      </c>
      <c r="T180" s="19" t="s">
        <v>65</v>
      </c>
      <c r="V180" s="1"/>
      <c r="W180" s="1"/>
      <c r="X180" s="1"/>
    </row>
    <row r="181" spans="1:30" ht="11.45" customHeight="1" x14ac:dyDescent="0.2">
      <c r="A181" s="19" t="s">
        <v>5</v>
      </c>
      <c r="B181" s="19"/>
      <c r="C181" s="19" t="s">
        <v>39</v>
      </c>
      <c r="D181" s="42" t="s">
        <v>40</v>
      </c>
      <c r="E181" s="19" t="s">
        <v>7</v>
      </c>
      <c r="F181" s="19" t="s">
        <v>64</v>
      </c>
      <c r="G181" s="19" t="s">
        <v>42</v>
      </c>
      <c r="H181" s="19" t="s">
        <v>43</v>
      </c>
      <c r="I181" s="19" t="s">
        <v>44</v>
      </c>
      <c r="J181" s="19" t="s">
        <v>45</v>
      </c>
      <c r="K181" s="19" t="s">
        <v>6</v>
      </c>
      <c r="L181" s="19" t="s">
        <v>13</v>
      </c>
      <c r="M181" s="19" t="s">
        <v>4</v>
      </c>
      <c r="N181" s="19" t="s">
        <v>9</v>
      </c>
      <c r="O181" s="19" t="s">
        <v>6</v>
      </c>
      <c r="P181" s="212"/>
      <c r="Q181" s="213"/>
      <c r="R181" s="19" t="s">
        <v>28</v>
      </c>
      <c r="S181" s="19" t="s">
        <v>27</v>
      </c>
      <c r="T181" s="19"/>
      <c r="V181" s="1"/>
      <c r="W181" s="1"/>
      <c r="X181" s="1"/>
    </row>
    <row r="182" spans="1:30" ht="2.25" customHeight="1" thickBot="1" x14ac:dyDescent="0.25">
      <c r="A182" s="21"/>
      <c r="B182" s="20"/>
      <c r="C182" s="22"/>
      <c r="D182" s="43"/>
      <c r="E182" s="20"/>
      <c r="F182" s="22"/>
      <c r="G182" s="22"/>
      <c r="H182" s="22"/>
      <c r="I182" s="22"/>
      <c r="J182" s="22"/>
      <c r="K182" s="20"/>
      <c r="L182" s="20"/>
      <c r="M182" s="20"/>
      <c r="N182" s="20"/>
      <c r="O182" s="20"/>
      <c r="P182" s="214"/>
      <c r="Q182" s="215"/>
      <c r="R182" s="20"/>
      <c r="S182" s="20"/>
      <c r="T182" s="20"/>
      <c r="V182" s="1"/>
      <c r="W182" s="1"/>
      <c r="X182" s="1"/>
    </row>
    <row r="183" spans="1:30" ht="33.75" x14ac:dyDescent="0.2">
      <c r="A183" s="122" t="s">
        <v>2462</v>
      </c>
      <c r="B183" s="93" t="s">
        <v>2663</v>
      </c>
      <c r="C183" s="4"/>
      <c r="D183" s="44"/>
      <c r="E183" s="123"/>
      <c r="F183" s="47"/>
      <c r="G183" s="47"/>
      <c r="H183" s="4"/>
      <c r="I183" s="4"/>
      <c r="J183" s="4"/>
      <c r="K183" s="5"/>
      <c r="L183" s="3"/>
      <c r="M183" s="47"/>
      <c r="N183" s="124"/>
      <c r="O183" s="4"/>
      <c r="P183" s="228"/>
      <c r="Q183" s="229"/>
      <c r="R183" s="110" t="s">
        <v>72</v>
      </c>
      <c r="S183" s="110" t="s">
        <v>24</v>
      </c>
      <c r="T183" s="55"/>
      <c r="U183" s="14"/>
      <c r="V183" s="6"/>
      <c r="W183" s="1"/>
      <c r="X183" s="6"/>
      <c r="Y183" s="12"/>
      <c r="Z183" s="12"/>
      <c r="AA183" s="12"/>
      <c r="AB183" s="14"/>
      <c r="AC183" s="14"/>
      <c r="AD183" s="14"/>
    </row>
    <row r="184" spans="1:30" x14ac:dyDescent="0.2">
      <c r="A184" s="3"/>
      <c r="B184" s="93"/>
      <c r="C184" s="96"/>
      <c r="D184" s="2"/>
      <c r="E184" s="3"/>
      <c r="F184" s="47"/>
      <c r="G184" s="47"/>
      <c r="H184" s="47"/>
      <c r="I184" s="47"/>
      <c r="J184" s="3"/>
      <c r="K184" s="5"/>
      <c r="L184" s="3"/>
      <c r="M184" s="110"/>
      <c r="N184" s="58"/>
      <c r="O184" s="4"/>
      <c r="P184" s="222"/>
      <c r="Q184" s="223"/>
      <c r="R184" s="110"/>
      <c r="S184" s="110"/>
      <c r="T184" s="52"/>
      <c r="U184" s="14"/>
      <c r="V184" s="6"/>
      <c r="W184" s="1"/>
      <c r="X184" s="6"/>
      <c r="Y184" s="12"/>
      <c r="Z184" s="12"/>
      <c r="AA184" s="12"/>
      <c r="AB184" s="14"/>
      <c r="AC184" s="14"/>
      <c r="AD184" s="14"/>
    </row>
    <row r="185" spans="1:30" ht="12" thickBot="1" x14ac:dyDescent="0.25">
      <c r="A185" s="9"/>
      <c r="B185" s="121"/>
      <c r="C185" s="9"/>
      <c r="D185" s="7"/>
      <c r="E185" s="9"/>
      <c r="F185" s="9"/>
      <c r="G185" s="9"/>
      <c r="H185" s="9"/>
      <c r="I185" s="9"/>
      <c r="J185" s="9"/>
      <c r="K185" s="9"/>
      <c r="L185" s="9"/>
      <c r="M185" s="9"/>
      <c r="N185" s="9"/>
      <c r="O185" s="8"/>
      <c r="P185" s="230"/>
      <c r="Q185" s="231"/>
      <c r="R185" s="9"/>
      <c r="S185" s="9"/>
      <c r="T185" s="54"/>
      <c r="U185" s="14"/>
      <c r="V185" s="6"/>
      <c r="W185" s="1"/>
      <c r="X185" s="6"/>
      <c r="Y185" s="11"/>
      <c r="Z185" s="11"/>
      <c r="AA185" s="11"/>
      <c r="AB185" s="14"/>
      <c r="AC185" s="14"/>
      <c r="AD185" s="14"/>
    </row>
    <row r="186" spans="1:30" x14ac:dyDescent="0.2">
      <c r="L186" s="1"/>
      <c r="M186" s="1"/>
      <c r="N186" s="1"/>
      <c r="R186" s="6"/>
      <c r="S186" s="6"/>
      <c r="T186" s="14"/>
      <c r="U186" s="14"/>
      <c r="V186" s="6"/>
      <c r="W186" s="1"/>
      <c r="X186" s="6"/>
      <c r="Y186" s="11"/>
      <c r="Z186" s="11"/>
      <c r="AA186" s="11"/>
      <c r="AB186" s="14"/>
      <c r="AC186" s="14"/>
      <c r="AD186" s="14"/>
    </row>
    <row r="187" spans="1:30" x14ac:dyDescent="0.2">
      <c r="L187" s="1"/>
      <c r="M187" s="24" t="s">
        <v>46</v>
      </c>
      <c r="N187" s="25">
        <f>SUM(N183:N185)</f>
        <v>0</v>
      </c>
      <c r="T187" s="14"/>
      <c r="U187" s="14"/>
      <c r="V187" s="6"/>
      <c r="W187" s="1"/>
      <c r="X187" s="6"/>
      <c r="Y187" s="11"/>
      <c r="Z187" s="11"/>
      <c r="AA187" s="11"/>
      <c r="AB187" s="14"/>
      <c r="AC187" s="14"/>
      <c r="AD187" s="14"/>
    </row>
    <row r="188" spans="1:30" ht="12.75" x14ac:dyDescent="0.2">
      <c r="A188" s="37" t="s">
        <v>62</v>
      </c>
      <c r="L188" s="11"/>
      <c r="M188" s="11"/>
      <c r="N188" s="71" t="s">
        <v>68</v>
      </c>
      <c r="O188" s="71" t="s">
        <v>69</v>
      </c>
      <c r="T188" s="14"/>
      <c r="U188" s="14"/>
      <c r="V188" s="6"/>
      <c r="W188" s="1"/>
      <c r="X188" s="6"/>
      <c r="Y188" s="11"/>
      <c r="Z188" s="11"/>
      <c r="AA188" s="11"/>
      <c r="AB188" s="14"/>
      <c r="AC188" s="14"/>
      <c r="AD188" s="14"/>
    </row>
    <row r="189" spans="1:30" x14ac:dyDescent="0.2">
      <c r="L189" s="30"/>
      <c r="M189" s="28" t="s">
        <v>22</v>
      </c>
      <c r="N189" s="30">
        <f>SUMIF(S183:S185,"GOODS",$N$183:$N$185)</f>
        <v>0</v>
      </c>
      <c r="O189" s="73">
        <f>COUNTIFS(S182:S185,"GOODS",$N$182:$N$185,"&gt;=1")</f>
        <v>0</v>
      </c>
      <c r="T189" s="14"/>
      <c r="U189" s="14"/>
      <c r="V189" s="6"/>
      <c r="W189" s="1"/>
      <c r="X189" s="6"/>
      <c r="Y189" s="11"/>
      <c r="Z189" s="11"/>
      <c r="AA189" s="11"/>
      <c r="AB189" s="14"/>
      <c r="AC189" s="14"/>
      <c r="AD189" s="14"/>
    </row>
    <row r="190" spans="1:30" x14ac:dyDescent="0.2">
      <c r="L190" s="30"/>
      <c r="M190" s="28" t="s">
        <v>23</v>
      </c>
      <c r="N190" s="30">
        <f>SUMIF(S183:S185,"SERVICES",$N$183:$N$185)</f>
        <v>0</v>
      </c>
      <c r="O190" s="73">
        <f>COUNTIFS(S182:S185,"SERVICES",$N$182:$N$185,"&gt;=1")</f>
        <v>0</v>
      </c>
      <c r="T190" s="14"/>
      <c r="U190" s="14"/>
      <c r="V190" s="6"/>
      <c r="W190" s="1"/>
      <c r="X190" s="6"/>
      <c r="Y190" s="11"/>
      <c r="Z190" s="11"/>
      <c r="AA190" s="11"/>
      <c r="AB190" s="14"/>
      <c r="AC190" s="14"/>
      <c r="AD190" s="14"/>
    </row>
    <row r="191" spans="1:30" x14ac:dyDescent="0.2">
      <c r="L191" s="30"/>
      <c r="M191" s="28" t="s">
        <v>24</v>
      </c>
      <c r="N191" s="30">
        <f>SUMIF(S183:S185,"CONSTRUCTION",$N$183:$N$185)</f>
        <v>0</v>
      </c>
      <c r="O191" s="73">
        <f>COUNTIFS(S182:S185,"CONSTRUCTION",$N$182:$N$185,"&gt;=1")</f>
        <v>0</v>
      </c>
      <c r="T191" s="14"/>
      <c r="U191" s="14"/>
      <c r="V191" s="6"/>
      <c r="W191" s="1"/>
      <c r="X191" s="6"/>
      <c r="Y191" s="11"/>
      <c r="Z191" s="11"/>
      <c r="AA191" s="11"/>
      <c r="AB191" s="14"/>
      <c r="AC191" s="14"/>
      <c r="AD191" s="14"/>
    </row>
    <row r="192" spans="1:30" x14ac:dyDescent="0.2">
      <c r="A192" s="10"/>
      <c r="B192" s="14"/>
      <c r="K192" s="11"/>
      <c r="M192" s="1"/>
      <c r="N192" s="74">
        <f>SUM(N189:N191)</f>
        <v>0</v>
      </c>
      <c r="O192" s="72">
        <f>SUM(O189:O191)</f>
        <v>0</v>
      </c>
      <c r="P192" s="11"/>
      <c r="Q192" s="11"/>
      <c r="R192" s="14"/>
      <c r="S192" s="14"/>
      <c r="T192" s="14"/>
      <c r="V192" s="1"/>
      <c r="W192" s="1"/>
      <c r="X192" s="1"/>
    </row>
    <row r="193" spans="1:24" ht="15.75" x14ac:dyDescent="0.25">
      <c r="A193" s="88" t="s">
        <v>29</v>
      </c>
      <c r="B193" s="88"/>
      <c r="L193" s="1"/>
      <c r="M193" s="1"/>
      <c r="N193" s="1"/>
      <c r="V193" s="1"/>
      <c r="W193" s="1"/>
      <c r="X193" s="1"/>
    </row>
    <row r="194" spans="1:24" ht="15.75" x14ac:dyDescent="0.25">
      <c r="A194" s="88" t="str">
        <f>A10</f>
        <v>FISCAL YEAR 2021-2022</v>
      </c>
      <c r="B194" s="88"/>
      <c r="L194" s="1"/>
      <c r="M194" s="1"/>
      <c r="N194" s="1"/>
      <c r="V194" s="1"/>
      <c r="W194" s="1"/>
      <c r="X194" s="1"/>
    </row>
    <row r="195" spans="1:24" ht="12" thickBot="1" x14ac:dyDescent="0.25">
      <c r="J195" s="14"/>
      <c r="K195" s="14"/>
      <c r="M195" s="23"/>
      <c r="N195" s="1"/>
      <c r="V195" s="1"/>
      <c r="W195" s="1"/>
      <c r="X195" s="1"/>
    </row>
    <row r="196" spans="1:24" ht="11.45" customHeight="1" x14ac:dyDescent="0.2">
      <c r="A196" s="17"/>
      <c r="B196" s="17"/>
      <c r="C196" s="17"/>
      <c r="D196" s="41"/>
      <c r="E196" s="17"/>
      <c r="F196" s="17"/>
      <c r="G196" s="17"/>
      <c r="H196" s="17"/>
      <c r="I196" s="18" t="s">
        <v>10</v>
      </c>
      <c r="J196" s="18" t="s">
        <v>47</v>
      </c>
      <c r="K196" s="18"/>
      <c r="L196" s="18"/>
      <c r="M196" s="210"/>
      <c r="N196" s="211"/>
      <c r="V196" s="1"/>
      <c r="W196" s="1"/>
      <c r="X196" s="1"/>
    </row>
    <row r="197" spans="1:24" ht="11.45" customHeight="1" x14ac:dyDescent="0.2">
      <c r="A197" s="19" t="s">
        <v>18</v>
      </c>
      <c r="B197" s="19" t="s">
        <v>1</v>
      </c>
      <c r="C197" s="19" t="s">
        <v>18</v>
      </c>
      <c r="D197" s="42" t="s">
        <v>39</v>
      </c>
      <c r="E197" s="19" t="s">
        <v>2</v>
      </c>
      <c r="F197" s="19" t="s">
        <v>18</v>
      </c>
      <c r="G197" s="19" t="s">
        <v>41</v>
      </c>
      <c r="H197" s="19" t="s">
        <v>41</v>
      </c>
      <c r="I197" s="19" t="s">
        <v>3</v>
      </c>
      <c r="J197" s="19" t="s">
        <v>48</v>
      </c>
      <c r="K197" s="19" t="s">
        <v>21</v>
      </c>
      <c r="L197" s="19" t="s">
        <v>26</v>
      </c>
      <c r="M197" s="212" t="s">
        <v>65</v>
      </c>
      <c r="N197" s="213"/>
      <c r="V197" s="1"/>
      <c r="W197" s="1"/>
      <c r="X197" s="1"/>
    </row>
    <row r="198" spans="1:24" ht="11.45" customHeight="1" x14ac:dyDescent="0.2">
      <c r="A198" s="19" t="s">
        <v>5</v>
      </c>
      <c r="B198" s="19"/>
      <c r="C198" s="19" t="s">
        <v>39</v>
      </c>
      <c r="D198" s="42" t="s">
        <v>40</v>
      </c>
      <c r="E198" s="19" t="s">
        <v>7</v>
      </c>
      <c r="F198" s="19" t="s">
        <v>64</v>
      </c>
      <c r="G198" s="19" t="s">
        <v>42</v>
      </c>
      <c r="H198" s="19" t="s">
        <v>43</v>
      </c>
      <c r="I198" s="19" t="s">
        <v>6</v>
      </c>
      <c r="J198" s="19" t="s">
        <v>13</v>
      </c>
      <c r="K198" s="19" t="s">
        <v>28</v>
      </c>
      <c r="L198" s="19" t="s">
        <v>27</v>
      </c>
      <c r="M198" s="212"/>
      <c r="N198" s="213"/>
      <c r="V198" s="1"/>
      <c r="W198" s="1"/>
      <c r="X198" s="1"/>
    </row>
    <row r="199" spans="1:24" ht="2.25" customHeight="1" thickBot="1" x14ac:dyDescent="0.25">
      <c r="A199" s="21"/>
      <c r="B199" s="20"/>
      <c r="C199" s="22"/>
      <c r="D199" s="43"/>
      <c r="E199" s="20"/>
      <c r="F199" s="22"/>
      <c r="G199" s="22"/>
      <c r="H199" s="22"/>
      <c r="I199" s="20"/>
      <c r="J199" s="20"/>
      <c r="K199" s="20"/>
      <c r="L199" s="20"/>
      <c r="M199" s="214"/>
      <c r="N199" s="215"/>
      <c r="V199" s="1"/>
      <c r="W199" s="1"/>
      <c r="X199" s="1"/>
    </row>
    <row r="200" spans="1:24" ht="13.35" customHeight="1" x14ac:dyDescent="0.2">
      <c r="A200" s="122" t="s">
        <v>2463</v>
      </c>
      <c r="B200" s="93"/>
      <c r="C200" s="96"/>
      <c r="D200" s="2"/>
      <c r="E200" s="96"/>
      <c r="F200" s="47"/>
      <c r="G200" s="47"/>
      <c r="H200" s="96"/>
      <c r="I200" s="96"/>
      <c r="J200" s="96"/>
      <c r="K200" s="110"/>
      <c r="L200" s="110"/>
      <c r="M200" s="232"/>
      <c r="N200" s="233"/>
      <c r="O200" s="6"/>
      <c r="Q200" s="6"/>
      <c r="R200" s="12"/>
      <c r="S200" s="12"/>
      <c r="T200" s="12"/>
      <c r="U200" s="14"/>
      <c r="X200" s="1"/>
    </row>
    <row r="201" spans="1:24" ht="14.1" customHeight="1" thickBot="1" x14ac:dyDescent="0.25">
      <c r="A201" s="9"/>
      <c r="B201" s="121"/>
      <c r="C201" s="9"/>
      <c r="D201" s="7"/>
      <c r="E201" s="9"/>
      <c r="F201" s="9"/>
      <c r="G201" s="9"/>
      <c r="H201" s="9"/>
      <c r="I201" s="9"/>
      <c r="J201" s="9"/>
      <c r="K201" s="9"/>
      <c r="L201" s="9"/>
      <c r="M201" s="234"/>
      <c r="N201" s="235"/>
      <c r="O201" s="6"/>
      <c r="Q201" s="6"/>
      <c r="R201" s="11"/>
      <c r="S201" s="11"/>
      <c r="T201" s="11"/>
      <c r="U201" s="14"/>
      <c r="X201" s="1"/>
    </row>
    <row r="202" spans="1:24" x14ac:dyDescent="0.2">
      <c r="K202" s="6"/>
      <c r="L202" s="6"/>
      <c r="O202" s="6"/>
      <c r="Q202" s="6"/>
      <c r="R202" s="11"/>
      <c r="S202" s="11"/>
      <c r="T202" s="11"/>
      <c r="U202" s="14"/>
      <c r="X202" s="1"/>
    </row>
    <row r="203" spans="1:24" x14ac:dyDescent="0.2">
      <c r="A203" s="10"/>
      <c r="B203" s="14"/>
      <c r="I203" s="11"/>
      <c r="J203" s="14"/>
      <c r="K203" s="14"/>
      <c r="N203" s="1"/>
      <c r="V203" s="1"/>
      <c r="W203" s="1"/>
      <c r="X203" s="1"/>
    </row>
    <row r="204" spans="1:24" ht="12.75" x14ac:dyDescent="0.2">
      <c r="A204" s="38" t="s">
        <v>62</v>
      </c>
      <c r="B204" s="14"/>
      <c r="J204" s="14"/>
      <c r="K204" s="14"/>
      <c r="O204" s="14"/>
      <c r="V204" s="1"/>
      <c r="W204" s="1"/>
      <c r="X204" s="1"/>
    </row>
    <row r="205" spans="1:24" x14ac:dyDescent="0.2">
      <c r="A205" s="10"/>
      <c r="B205" s="14"/>
      <c r="K205" s="11"/>
      <c r="O205" s="14"/>
      <c r="P205" s="14"/>
      <c r="Q205" s="14"/>
      <c r="V205" s="1"/>
      <c r="W205" s="1"/>
      <c r="X205" s="1"/>
    </row>
    <row r="206" spans="1:24" x14ac:dyDescent="0.2">
      <c r="A206" s="10"/>
      <c r="B206" s="14"/>
      <c r="K206" s="11"/>
      <c r="O206" s="14"/>
      <c r="P206" s="14"/>
      <c r="Q206" s="14"/>
      <c r="V206" s="1"/>
      <c r="W206" s="1"/>
      <c r="X206" s="1"/>
    </row>
    <row r="207" spans="1:24" x14ac:dyDescent="0.2">
      <c r="A207" s="10" t="s">
        <v>67</v>
      </c>
      <c r="B207" s="14"/>
      <c r="K207" s="11"/>
      <c r="R207" s="11"/>
      <c r="S207" s="11"/>
      <c r="T207" s="11"/>
      <c r="U207" s="11"/>
    </row>
    <row r="208" spans="1:24" x14ac:dyDescent="0.2">
      <c r="A208" s="10"/>
      <c r="B208" s="14"/>
      <c r="K208" s="11"/>
      <c r="R208" s="11"/>
      <c r="S208" s="11"/>
      <c r="T208" s="11"/>
      <c r="U208" s="11"/>
    </row>
    <row r="209" spans="1:21" ht="15" customHeight="1" x14ac:dyDescent="0.2">
      <c r="A209" s="236" t="s">
        <v>66</v>
      </c>
      <c r="B209" s="237"/>
      <c r="C209" s="237"/>
      <c r="D209" s="237"/>
      <c r="E209" s="237"/>
      <c r="F209" s="237"/>
      <c r="G209" s="237"/>
      <c r="H209" s="237"/>
      <c r="I209" s="237"/>
      <c r="J209" s="237"/>
      <c r="K209" s="237"/>
      <c r="L209" s="237"/>
      <c r="R209" s="11"/>
      <c r="S209" s="11"/>
      <c r="T209" s="11"/>
      <c r="U209" s="11"/>
    </row>
    <row r="210" spans="1:21" ht="15" customHeight="1" x14ac:dyDescent="0.2">
      <c r="A210" s="237"/>
      <c r="B210" s="237"/>
      <c r="C210" s="237"/>
      <c r="D210" s="237"/>
      <c r="E210" s="237"/>
      <c r="F210" s="237"/>
      <c r="G210" s="237"/>
      <c r="H210" s="237"/>
      <c r="I210" s="237"/>
      <c r="J210" s="237"/>
      <c r="K210" s="237"/>
      <c r="L210" s="237"/>
      <c r="R210" s="11"/>
      <c r="S210" s="11"/>
      <c r="T210" s="11"/>
      <c r="U210" s="11"/>
    </row>
    <row r="211" spans="1:21" ht="14.25" customHeight="1" x14ac:dyDescent="0.2">
      <c r="A211" s="237"/>
      <c r="B211" s="237"/>
      <c r="C211" s="237"/>
      <c r="D211" s="237"/>
      <c r="E211" s="237"/>
      <c r="F211" s="237"/>
      <c r="G211" s="237"/>
      <c r="H211" s="237"/>
      <c r="I211" s="237"/>
      <c r="J211" s="237"/>
      <c r="K211" s="237"/>
      <c r="L211" s="237"/>
      <c r="R211" s="11"/>
      <c r="S211" s="11"/>
      <c r="T211" s="11"/>
      <c r="U211" s="11"/>
    </row>
    <row r="212" spans="1:21" ht="14.25" customHeight="1" x14ac:dyDescent="0.2">
      <c r="A212" s="237"/>
      <c r="B212" s="237"/>
      <c r="C212" s="237"/>
      <c r="D212" s="237"/>
      <c r="E212" s="237"/>
      <c r="F212" s="237"/>
      <c r="G212" s="237"/>
      <c r="H212" s="237"/>
      <c r="I212" s="237"/>
      <c r="J212" s="237"/>
      <c r="K212" s="237"/>
      <c r="L212" s="237"/>
      <c r="R212" s="11"/>
      <c r="S212" s="11"/>
      <c r="T212" s="11"/>
      <c r="U212" s="11"/>
    </row>
    <row r="213" spans="1:21" x14ac:dyDescent="0.2">
      <c r="A213" s="10"/>
      <c r="B213" s="14"/>
      <c r="K213" s="11"/>
      <c r="R213" s="11"/>
      <c r="S213" s="11"/>
      <c r="T213" s="11"/>
      <c r="U213" s="11"/>
    </row>
    <row r="214" spans="1:21" x14ac:dyDescent="0.2">
      <c r="A214" s="10"/>
      <c r="B214" s="14"/>
      <c r="K214" s="11"/>
      <c r="R214" s="11"/>
      <c r="S214" s="11"/>
      <c r="T214" s="11"/>
      <c r="U214" s="11"/>
    </row>
    <row r="215" spans="1:21" x14ac:dyDescent="0.2">
      <c r="A215" s="10"/>
      <c r="B215" s="14"/>
      <c r="K215" s="11"/>
      <c r="R215" s="11"/>
      <c r="S215" s="11"/>
      <c r="T215" s="11"/>
      <c r="U215" s="11"/>
    </row>
    <row r="216" spans="1:21" x14ac:dyDescent="0.2">
      <c r="A216" s="10"/>
      <c r="B216" s="14"/>
      <c r="K216" s="11"/>
      <c r="R216" s="11"/>
      <c r="S216" s="11"/>
      <c r="T216" s="11"/>
      <c r="U216" s="11"/>
    </row>
    <row r="217" spans="1:21" x14ac:dyDescent="0.2">
      <c r="A217" s="10"/>
      <c r="B217" s="14"/>
      <c r="K217" s="11"/>
      <c r="R217" s="11"/>
      <c r="S217" s="11"/>
      <c r="T217" s="11"/>
      <c r="U217" s="11"/>
    </row>
    <row r="218" spans="1:21" x14ac:dyDescent="0.2">
      <c r="A218" s="10"/>
      <c r="B218" s="14"/>
      <c r="K218" s="11"/>
      <c r="R218" s="11"/>
      <c r="S218" s="11"/>
      <c r="T218" s="11"/>
      <c r="U218" s="11"/>
    </row>
    <row r="219" spans="1:21" x14ac:dyDescent="0.2">
      <c r="A219" s="10"/>
      <c r="B219" s="14"/>
      <c r="K219" s="11"/>
      <c r="R219" s="11"/>
      <c r="S219" s="11"/>
      <c r="T219" s="11"/>
      <c r="U219" s="11"/>
    </row>
    <row r="220" spans="1:21" x14ac:dyDescent="0.2">
      <c r="A220" s="10"/>
      <c r="B220" s="14"/>
      <c r="K220" s="11"/>
      <c r="R220" s="11"/>
      <c r="S220" s="11"/>
      <c r="T220" s="11"/>
      <c r="U220" s="11"/>
    </row>
    <row r="221" spans="1:21" x14ac:dyDescent="0.2">
      <c r="A221" s="10"/>
      <c r="B221" s="14"/>
      <c r="K221" s="11"/>
      <c r="R221" s="11"/>
      <c r="S221" s="11"/>
      <c r="T221" s="11"/>
      <c r="U221" s="11"/>
    </row>
    <row r="222" spans="1:21" x14ac:dyDescent="0.2">
      <c r="A222" s="10"/>
      <c r="B222" s="14"/>
      <c r="K222" s="11"/>
      <c r="R222" s="11"/>
      <c r="S222" s="11"/>
      <c r="T222" s="11"/>
      <c r="U222" s="11"/>
    </row>
    <row r="223" spans="1:21" x14ac:dyDescent="0.2">
      <c r="A223" s="10"/>
      <c r="B223" s="14"/>
      <c r="K223" s="11"/>
      <c r="R223" s="11"/>
      <c r="S223" s="11"/>
      <c r="T223" s="11"/>
      <c r="U223" s="11"/>
    </row>
    <row r="224" spans="1:21" x14ac:dyDescent="0.2">
      <c r="A224" s="10"/>
      <c r="B224" s="14"/>
      <c r="K224" s="11"/>
      <c r="R224" s="11"/>
      <c r="S224" s="11"/>
      <c r="T224" s="11"/>
      <c r="U224" s="11"/>
    </row>
    <row r="225" spans="1:21" x14ac:dyDescent="0.2">
      <c r="A225" s="10"/>
      <c r="B225" s="14"/>
      <c r="K225" s="11"/>
      <c r="R225" s="11"/>
      <c r="S225" s="11"/>
      <c r="T225" s="11"/>
      <c r="U225" s="11"/>
    </row>
    <row r="226" spans="1:21" x14ac:dyDescent="0.2">
      <c r="A226" s="10"/>
      <c r="B226" s="14"/>
      <c r="K226" s="11"/>
      <c r="R226" s="11"/>
      <c r="S226" s="11"/>
      <c r="T226" s="11"/>
      <c r="U226" s="11"/>
    </row>
    <row r="227" spans="1:21" x14ac:dyDescent="0.2">
      <c r="A227" s="10"/>
      <c r="B227" s="14"/>
      <c r="K227" s="11"/>
      <c r="R227" s="11"/>
      <c r="S227" s="11"/>
      <c r="T227" s="11"/>
      <c r="U227" s="11"/>
    </row>
    <row r="228" spans="1:21" x14ac:dyDescent="0.2">
      <c r="A228" s="10"/>
      <c r="B228" s="14"/>
      <c r="K228" s="11"/>
      <c r="R228" s="11"/>
      <c r="S228" s="11"/>
      <c r="T228" s="11"/>
      <c r="U228" s="11"/>
    </row>
    <row r="229" spans="1:21" x14ac:dyDescent="0.2">
      <c r="A229" s="10"/>
      <c r="B229" s="14"/>
      <c r="K229" s="11"/>
      <c r="R229" s="11"/>
      <c r="S229" s="11"/>
      <c r="T229" s="11"/>
      <c r="U229" s="11"/>
    </row>
    <row r="230" spans="1:21" x14ac:dyDescent="0.2">
      <c r="A230" s="10"/>
      <c r="B230" s="14"/>
      <c r="K230" s="11"/>
      <c r="R230" s="11"/>
      <c r="S230" s="11"/>
      <c r="T230" s="11"/>
      <c r="U230" s="11"/>
    </row>
    <row r="231" spans="1:21" x14ac:dyDescent="0.2">
      <c r="A231" s="10"/>
      <c r="B231" s="14"/>
      <c r="K231" s="11"/>
      <c r="R231" s="11"/>
      <c r="S231" s="11"/>
      <c r="T231" s="11"/>
      <c r="U231" s="11"/>
    </row>
    <row r="232" spans="1:21" x14ac:dyDescent="0.2">
      <c r="A232" s="10"/>
      <c r="B232" s="14"/>
      <c r="K232" s="11"/>
      <c r="R232" s="11"/>
      <c r="S232" s="11"/>
      <c r="T232" s="11"/>
      <c r="U232" s="11"/>
    </row>
    <row r="233" spans="1:21" x14ac:dyDescent="0.2">
      <c r="A233" s="10"/>
      <c r="B233" s="14"/>
      <c r="K233" s="11"/>
      <c r="R233" s="11"/>
      <c r="S233" s="11"/>
      <c r="T233" s="11"/>
      <c r="U233" s="11"/>
    </row>
    <row r="234" spans="1:21" x14ac:dyDescent="0.2">
      <c r="A234" s="10"/>
      <c r="B234" s="14"/>
      <c r="K234" s="11"/>
      <c r="R234" s="11"/>
      <c r="S234" s="11"/>
      <c r="T234" s="11"/>
      <c r="U234" s="11"/>
    </row>
    <row r="235" spans="1:21" x14ac:dyDescent="0.2">
      <c r="A235" s="10"/>
      <c r="B235" s="14"/>
      <c r="K235" s="11"/>
      <c r="R235" s="11"/>
      <c r="S235" s="11"/>
      <c r="T235" s="11"/>
      <c r="U235" s="11"/>
    </row>
    <row r="236" spans="1:21" x14ac:dyDescent="0.2">
      <c r="A236" s="10"/>
      <c r="B236" s="14"/>
      <c r="K236" s="11"/>
      <c r="R236" s="11"/>
      <c r="S236" s="11"/>
      <c r="T236" s="11"/>
      <c r="U236" s="11"/>
    </row>
    <row r="237" spans="1:21" x14ac:dyDescent="0.2">
      <c r="A237" s="10"/>
      <c r="B237" s="14"/>
      <c r="K237" s="11"/>
      <c r="R237" s="11"/>
      <c r="S237" s="11"/>
      <c r="T237" s="11"/>
      <c r="U237" s="11"/>
    </row>
    <row r="238" spans="1:21" x14ac:dyDescent="0.2">
      <c r="A238" s="10"/>
      <c r="B238" s="14"/>
      <c r="K238" s="11"/>
      <c r="R238" s="11"/>
      <c r="S238" s="11"/>
      <c r="T238" s="11"/>
      <c r="U238" s="11"/>
    </row>
    <row r="239" spans="1:21" x14ac:dyDescent="0.2">
      <c r="A239" s="10"/>
      <c r="B239" s="14"/>
      <c r="K239" s="11"/>
      <c r="R239" s="11"/>
      <c r="S239" s="11"/>
      <c r="T239" s="11"/>
      <c r="U239" s="11"/>
    </row>
    <row r="240" spans="1:21" x14ac:dyDescent="0.2">
      <c r="A240" s="10"/>
      <c r="B240" s="14"/>
      <c r="K240" s="11"/>
      <c r="R240" s="11"/>
      <c r="S240" s="11"/>
      <c r="T240" s="11"/>
      <c r="U240" s="11"/>
    </row>
    <row r="241" spans="1:21" x14ac:dyDescent="0.2">
      <c r="A241" s="10"/>
      <c r="B241" s="14"/>
      <c r="K241" s="11"/>
      <c r="R241" s="11"/>
      <c r="S241" s="11"/>
      <c r="T241" s="11"/>
      <c r="U241" s="11"/>
    </row>
    <row r="242" spans="1:21" x14ac:dyDescent="0.2">
      <c r="A242" s="10"/>
      <c r="B242" s="14"/>
      <c r="K242" s="11"/>
      <c r="R242" s="11"/>
      <c r="S242" s="11"/>
      <c r="T242" s="11"/>
      <c r="U242" s="11"/>
    </row>
    <row r="243" spans="1:21" x14ac:dyDescent="0.2">
      <c r="A243" s="10"/>
      <c r="B243" s="14"/>
      <c r="K243" s="11"/>
      <c r="R243" s="11"/>
      <c r="S243" s="11"/>
      <c r="T243" s="11"/>
      <c r="U243" s="11"/>
    </row>
    <row r="244" spans="1:21" x14ac:dyDescent="0.2">
      <c r="A244" s="10"/>
      <c r="B244" s="14"/>
      <c r="K244" s="11"/>
      <c r="R244" s="11"/>
      <c r="S244" s="11"/>
      <c r="T244" s="11"/>
      <c r="U244" s="11"/>
    </row>
    <row r="245" spans="1:21" x14ac:dyDescent="0.2">
      <c r="A245" s="10"/>
      <c r="B245" s="14"/>
      <c r="K245" s="11"/>
      <c r="R245" s="11"/>
      <c r="S245" s="11"/>
      <c r="T245" s="11"/>
      <c r="U245" s="11"/>
    </row>
    <row r="246" spans="1:21" x14ac:dyDescent="0.2">
      <c r="A246" s="10"/>
      <c r="B246" s="14"/>
      <c r="K246" s="11"/>
      <c r="R246" s="11"/>
      <c r="S246" s="11"/>
      <c r="T246" s="11"/>
      <c r="U246" s="11"/>
    </row>
    <row r="247" spans="1:21" x14ac:dyDescent="0.2">
      <c r="A247" s="10"/>
      <c r="B247" s="14"/>
      <c r="K247" s="11"/>
      <c r="R247" s="11"/>
      <c r="S247" s="11"/>
      <c r="T247" s="11"/>
      <c r="U247" s="11"/>
    </row>
    <row r="248" spans="1:21" x14ac:dyDescent="0.2">
      <c r="A248" s="10"/>
      <c r="B248" s="14"/>
      <c r="K248" s="11"/>
      <c r="R248" s="11"/>
      <c r="S248" s="11"/>
      <c r="T248" s="11"/>
      <c r="U248" s="11"/>
    </row>
    <row r="249" spans="1:21" x14ac:dyDescent="0.2">
      <c r="A249" s="10"/>
      <c r="B249" s="14"/>
      <c r="R249" s="11"/>
      <c r="S249" s="11"/>
      <c r="T249" s="11"/>
      <c r="U249" s="11"/>
    </row>
    <row r="250" spans="1:21" x14ac:dyDescent="0.2">
      <c r="A250" s="10"/>
      <c r="B250" s="14"/>
      <c r="R250" s="11"/>
      <c r="S250" s="11"/>
      <c r="T250" s="11"/>
      <c r="U250" s="11"/>
    </row>
    <row r="251" spans="1:21" x14ac:dyDescent="0.2">
      <c r="A251" s="10"/>
      <c r="B251" s="14"/>
      <c r="R251" s="11"/>
      <c r="S251" s="11"/>
      <c r="T251" s="11"/>
      <c r="U251" s="11"/>
    </row>
    <row r="252" spans="1:21" x14ac:dyDescent="0.2">
      <c r="A252" s="10"/>
      <c r="B252" s="14"/>
      <c r="R252" s="11"/>
      <c r="S252" s="11"/>
      <c r="T252" s="11"/>
      <c r="U252" s="11"/>
    </row>
    <row r="253" spans="1:21" x14ac:dyDescent="0.2">
      <c r="A253" s="10"/>
      <c r="B253" s="14"/>
      <c r="R253" s="11"/>
      <c r="S253" s="11"/>
      <c r="T253" s="11"/>
      <c r="U253" s="11"/>
    </row>
    <row r="254" spans="1:21" x14ac:dyDescent="0.2">
      <c r="A254" s="10"/>
      <c r="B254" s="14"/>
      <c r="R254" s="11"/>
      <c r="S254" s="11"/>
      <c r="T254" s="11"/>
      <c r="U254" s="11"/>
    </row>
    <row r="255" spans="1:21" x14ac:dyDescent="0.2">
      <c r="A255" s="10"/>
      <c r="B255" s="14"/>
      <c r="R255" s="11"/>
      <c r="S255" s="11"/>
      <c r="T255" s="11"/>
      <c r="U255" s="11"/>
    </row>
    <row r="256" spans="1:21" x14ac:dyDescent="0.2">
      <c r="A256" s="10"/>
      <c r="B256" s="14"/>
      <c r="R256" s="11"/>
      <c r="S256" s="11"/>
      <c r="T256" s="11"/>
      <c r="U256" s="11"/>
    </row>
    <row r="257" spans="1:21" x14ac:dyDescent="0.2">
      <c r="A257" s="10"/>
      <c r="B257" s="14"/>
      <c r="R257" s="11"/>
      <c r="S257" s="11"/>
      <c r="T257" s="11"/>
      <c r="U257" s="11"/>
    </row>
    <row r="258" spans="1:21" x14ac:dyDescent="0.2">
      <c r="A258" s="10"/>
      <c r="B258" s="14"/>
      <c r="R258" s="11"/>
      <c r="S258" s="11"/>
      <c r="T258" s="11"/>
      <c r="U258" s="11"/>
    </row>
    <row r="259" spans="1:21" x14ac:dyDescent="0.2">
      <c r="A259" s="10"/>
      <c r="B259" s="14"/>
      <c r="R259" s="11"/>
      <c r="S259" s="11"/>
      <c r="T259" s="11"/>
      <c r="U259" s="11"/>
    </row>
    <row r="260" spans="1:21" x14ac:dyDescent="0.2">
      <c r="A260" s="10"/>
      <c r="B260" s="14"/>
      <c r="R260" s="11"/>
      <c r="S260" s="11"/>
      <c r="T260" s="11"/>
      <c r="U260" s="11"/>
    </row>
    <row r="261" spans="1:21" x14ac:dyDescent="0.2">
      <c r="A261" s="10"/>
      <c r="B261" s="14"/>
      <c r="R261" s="11"/>
      <c r="S261" s="11"/>
      <c r="T261" s="11"/>
      <c r="U261" s="11"/>
    </row>
    <row r="262" spans="1:21" x14ac:dyDescent="0.2">
      <c r="A262" s="10"/>
      <c r="B262" s="14"/>
      <c r="R262" s="11"/>
      <c r="S262" s="11"/>
      <c r="T262" s="11"/>
      <c r="U262" s="11"/>
    </row>
    <row r="263" spans="1:21" x14ac:dyDescent="0.2">
      <c r="A263" s="10"/>
      <c r="B263" s="14"/>
      <c r="R263" s="11"/>
      <c r="S263" s="11"/>
      <c r="T263" s="11"/>
      <c r="U263" s="11"/>
    </row>
    <row r="264" spans="1:21" x14ac:dyDescent="0.2">
      <c r="A264" s="10"/>
      <c r="B264" s="14"/>
      <c r="R264" s="11"/>
      <c r="S264" s="11"/>
      <c r="T264" s="11"/>
      <c r="U264" s="11"/>
    </row>
    <row r="265" spans="1:21" x14ac:dyDescent="0.2">
      <c r="A265" s="10"/>
      <c r="B265" s="14"/>
      <c r="R265" s="11"/>
      <c r="S265" s="11"/>
      <c r="T265" s="11"/>
      <c r="U265" s="11"/>
    </row>
    <row r="266" spans="1:21" x14ac:dyDescent="0.2">
      <c r="A266" s="10"/>
      <c r="B266" s="14"/>
      <c r="R266" s="11"/>
      <c r="S266" s="11"/>
      <c r="T266" s="11"/>
      <c r="U266" s="11"/>
    </row>
    <row r="267" spans="1:21" x14ac:dyDescent="0.2">
      <c r="A267" s="10"/>
      <c r="B267" s="14"/>
      <c r="R267" s="11"/>
      <c r="S267" s="11"/>
      <c r="T267" s="11"/>
      <c r="U267" s="11"/>
    </row>
    <row r="268" spans="1:21" x14ac:dyDescent="0.2">
      <c r="A268" s="10"/>
      <c r="B268" s="14"/>
      <c r="R268" s="11"/>
      <c r="S268" s="11"/>
      <c r="T268" s="11"/>
      <c r="U268" s="11"/>
    </row>
    <row r="269" spans="1:21" x14ac:dyDescent="0.2">
      <c r="A269" s="10"/>
      <c r="B269" s="14"/>
      <c r="R269" s="11"/>
      <c r="S269" s="11"/>
      <c r="T269" s="11"/>
      <c r="U269" s="11"/>
    </row>
    <row r="270" spans="1:21" x14ac:dyDescent="0.2">
      <c r="A270" s="10"/>
      <c r="B270" s="14"/>
      <c r="R270" s="11"/>
      <c r="S270" s="11"/>
      <c r="T270" s="11"/>
      <c r="U270" s="11"/>
    </row>
    <row r="271" spans="1:21" x14ac:dyDescent="0.2">
      <c r="A271" s="10"/>
      <c r="B271" s="14"/>
      <c r="R271" s="11"/>
      <c r="S271" s="11"/>
      <c r="T271" s="11"/>
      <c r="U271" s="11"/>
    </row>
    <row r="272" spans="1:21" x14ac:dyDescent="0.2">
      <c r="A272" s="10"/>
      <c r="B272" s="14"/>
      <c r="R272" s="11"/>
      <c r="S272" s="11"/>
      <c r="T272" s="11"/>
      <c r="U272" s="11"/>
    </row>
    <row r="273" spans="1:21" x14ac:dyDescent="0.2">
      <c r="A273" s="10"/>
      <c r="B273" s="14"/>
      <c r="R273" s="11"/>
      <c r="S273" s="11"/>
      <c r="T273" s="11"/>
      <c r="U273" s="11"/>
    </row>
    <row r="274" spans="1:21" x14ac:dyDescent="0.2">
      <c r="A274" s="10"/>
      <c r="B274" s="14"/>
      <c r="R274" s="11"/>
      <c r="S274" s="11"/>
      <c r="T274" s="11"/>
      <c r="U274" s="11"/>
    </row>
    <row r="275" spans="1:21" x14ac:dyDescent="0.2">
      <c r="A275" s="10"/>
      <c r="B275" s="14"/>
      <c r="R275" s="11"/>
      <c r="S275" s="11"/>
      <c r="T275" s="11"/>
      <c r="U275" s="11"/>
    </row>
    <row r="276" spans="1:21" x14ac:dyDescent="0.2">
      <c r="A276" s="10"/>
      <c r="B276" s="14"/>
      <c r="R276" s="11"/>
      <c r="S276" s="11"/>
      <c r="T276" s="11"/>
      <c r="U276" s="11"/>
    </row>
    <row r="277" spans="1:21" x14ac:dyDescent="0.2">
      <c r="A277" s="10"/>
      <c r="B277" s="14"/>
      <c r="R277" s="11"/>
      <c r="S277" s="11"/>
      <c r="T277" s="11"/>
      <c r="U277" s="11"/>
    </row>
    <row r="278" spans="1:21" x14ac:dyDescent="0.2">
      <c r="A278" s="10"/>
      <c r="B278" s="14"/>
      <c r="R278" s="11"/>
      <c r="S278" s="11"/>
      <c r="T278" s="11"/>
      <c r="U278" s="11"/>
    </row>
    <row r="279" spans="1:21" x14ac:dyDescent="0.2">
      <c r="A279" s="10"/>
      <c r="B279" s="14"/>
      <c r="R279" s="11"/>
      <c r="S279" s="11"/>
      <c r="T279" s="11"/>
      <c r="U279" s="11"/>
    </row>
    <row r="280" spans="1:21" x14ac:dyDescent="0.2">
      <c r="A280" s="10"/>
      <c r="B280" s="14"/>
      <c r="R280" s="11"/>
      <c r="S280" s="11"/>
      <c r="T280" s="11"/>
      <c r="U280" s="11"/>
    </row>
    <row r="281" spans="1:21" x14ac:dyDescent="0.2">
      <c r="A281" s="10"/>
      <c r="B281" s="14"/>
      <c r="R281" s="11"/>
      <c r="S281" s="11"/>
      <c r="T281" s="11"/>
      <c r="U281" s="11"/>
    </row>
    <row r="282" spans="1:21" x14ac:dyDescent="0.2">
      <c r="A282" s="10"/>
      <c r="B282" s="14"/>
      <c r="R282" s="11"/>
      <c r="S282" s="11"/>
      <c r="T282" s="11"/>
      <c r="U282" s="11"/>
    </row>
    <row r="283" spans="1:21" x14ac:dyDescent="0.2">
      <c r="A283" s="10"/>
      <c r="B283" s="14"/>
      <c r="R283" s="11"/>
      <c r="S283" s="11"/>
      <c r="T283" s="11"/>
      <c r="U283" s="11"/>
    </row>
    <row r="284" spans="1:21" x14ac:dyDescent="0.2">
      <c r="A284" s="10"/>
      <c r="B284" s="14"/>
      <c r="R284" s="11"/>
      <c r="S284" s="11"/>
      <c r="T284" s="11"/>
      <c r="U284" s="11"/>
    </row>
    <row r="285" spans="1:21" x14ac:dyDescent="0.2">
      <c r="A285" s="10"/>
      <c r="B285" s="14"/>
      <c r="R285" s="11"/>
      <c r="S285" s="11"/>
      <c r="T285" s="11"/>
      <c r="U285" s="11"/>
    </row>
    <row r="286" spans="1:21" x14ac:dyDescent="0.2">
      <c r="A286" s="10"/>
      <c r="B286" s="14"/>
      <c r="R286" s="11"/>
      <c r="S286" s="11"/>
      <c r="T286" s="11"/>
      <c r="U286" s="11"/>
    </row>
    <row r="287" spans="1:21" x14ac:dyDescent="0.2">
      <c r="A287" s="10"/>
      <c r="B287" s="14"/>
      <c r="R287" s="11"/>
      <c r="S287" s="11"/>
      <c r="T287" s="11"/>
      <c r="U287" s="11"/>
    </row>
    <row r="288" spans="1:21" x14ac:dyDescent="0.2">
      <c r="A288" s="10"/>
      <c r="B288" s="14"/>
      <c r="R288" s="11"/>
      <c r="S288" s="11"/>
      <c r="T288" s="11"/>
      <c r="U288" s="11"/>
    </row>
    <row r="289" spans="1:21" x14ac:dyDescent="0.2">
      <c r="A289" s="10"/>
      <c r="B289" s="14"/>
      <c r="R289" s="11"/>
      <c r="S289" s="11"/>
      <c r="T289" s="11"/>
      <c r="U289" s="11"/>
    </row>
    <row r="290" spans="1:21" x14ac:dyDescent="0.2">
      <c r="A290" s="10"/>
      <c r="B290" s="14"/>
      <c r="R290" s="11"/>
      <c r="S290" s="11"/>
      <c r="T290" s="11"/>
      <c r="U290" s="11"/>
    </row>
    <row r="291" spans="1:21" x14ac:dyDescent="0.2">
      <c r="A291" s="10"/>
      <c r="B291" s="14"/>
      <c r="R291" s="11"/>
      <c r="S291" s="11"/>
      <c r="T291" s="11"/>
      <c r="U291" s="11"/>
    </row>
    <row r="292" spans="1:21" x14ac:dyDescent="0.2">
      <c r="A292" s="10"/>
      <c r="B292" s="14"/>
      <c r="R292" s="11"/>
      <c r="S292" s="11"/>
      <c r="T292" s="11"/>
      <c r="U292" s="11"/>
    </row>
    <row r="293" spans="1:21" x14ac:dyDescent="0.2">
      <c r="A293" s="10"/>
      <c r="B293" s="14"/>
      <c r="R293" s="11"/>
      <c r="S293" s="11"/>
      <c r="T293" s="11"/>
      <c r="U293" s="11"/>
    </row>
    <row r="294" spans="1:21" x14ac:dyDescent="0.2">
      <c r="A294" s="10"/>
      <c r="B294" s="14"/>
      <c r="R294" s="11"/>
      <c r="S294" s="11"/>
      <c r="T294" s="11"/>
      <c r="U294" s="11"/>
    </row>
    <row r="295" spans="1:21" x14ac:dyDescent="0.2">
      <c r="A295" s="10"/>
      <c r="B295" s="14"/>
      <c r="R295" s="11"/>
      <c r="S295" s="11"/>
      <c r="T295" s="11"/>
      <c r="U295" s="11"/>
    </row>
    <row r="296" spans="1:21" x14ac:dyDescent="0.2">
      <c r="A296" s="10"/>
      <c r="B296" s="14"/>
      <c r="R296" s="11"/>
      <c r="S296" s="11"/>
      <c r="T296" s="11"/>
      <c r="U296" s="11"/>
    </row>
    <row r="297" spans="1:21" x14ac:dyDescent="0.2">
      <c r="A297" s="10"/>
      <c r="B297" s="14"/>
      <c r="R297" s="11"/>
      <c r="S297" s="11"/>
      <c r="T297" s="11"/>
      <c r="U297" s="11"/>
    </row>
    <row r="298" spans="1:21" x14ac:dyDescent="0.2">
      <c r="A298" s="10"/>
      <c r="B298" s="14"/>
      <c r="R298" s="11"/>
      <c r="S298" s="11"/>
      <c r="T298" s="11"/>
      <c r="U298" s="11"/>
    </row>
    <row r="299" spans="1:21" x14ac:dyDescent="0.2">
      <c r="A299" s="10"/>
      <c r="B299" s="14"/>
      <c r="R299" s="11"/>
      <c r="S299" s="11"/>
      <c r="T299" s="11"/>
      <c r="U299" s="11"/>
    </row>
    <row r="300" spans="1:21" x14ac:dyDescent="0.2">
      <c r="A300" s="10"/>
      <c r="B300" s="14"/>
      <c r="R300" s="11"/>
      <c r="S300" s="11"/>
      <c r="T300" s="11"/>
      <c r="U300" s="11"/>
    </row>
    <row r="301" spans="1:21" x14ac:dyDescent="0.2">
      <c r="A301" s="10"/>
      <c r="B301" s="14"/>
      <c r="R301" s="11"/>
      <c r="S301" s="11"/>
      <c r="T301" s="11"/>
      <c r="U301" s="11"/>
    </row>
    <row r="302" spans="1:21" x14ac:dyDescent="0.2">
      <c r="A302" s="10"/>
      <c r="B302" s="14"/>
      <c r="R302" s="11"/>
      <c r="S302" s="11"/>
      <c r="T302" s="11"/>
      <c r="U302" s="11"/>
    </row>
    <row r="303" spans="1:21" x14ac:dyDescent="0.2">
      <c r="A303" s="10"/>
      <c r="B303" s="14"/>
      <c r="R303" s="11"/>
      <c r="S303" s="11"/>
      <c r="T303" s="11"/>
      <c r="U303" s="11"/>
    </row>
    <row r="304" spans="1:21" x14ac:dyDescent="0.2">
      <c r="A304" s="10"/>
      <c r="B304" s="14"/>
      <c r="R304" s="11"/>
      <c r="S304" s="11"/>
      <c r="T304" s="11"/>
      <c r="U304" s="11"/>
    </row>
    <row r="305" spans="1:21" x14ac:dyDescent="0.2">
      <c r="A305" s="10"/>
      <c r="B305" s="14"/>
      <c r="R305" s="11"/>
      <c r="S305" s="11"/>
      <c r="T305" s="11"/>
      <c r="U305" s="11"/>
    </row>
    <row r="306" spans="1:21" x14ac:dyDescent="0.2">
      <c r="A306" s="10"/>
      <c r="B306" s="14"/>
      <c r="R306" s="11"/>
      <c r="S306" s="11"/>
      <c r="T306" s="11"/>
      <c r="U306" s="11"/>
    </row>
    <row r="307" spans="1:21" x14ac:dyDescent="0.2">
      <c r="A307" s="10"/>
      <c r="B307" s="14"/>
      <c r="R307" s="11"/>
      <c r="S307" s="11"/>
      <c r="T307" s="11"/>
      <c r="U307" s="11"/>
    </row>
    <row r="308" spans="1:21" x14ac:dyDescent="0.2">
      <c r="A308" s="10"/>
      <c r="B308" s="14"/>
      <c r="R308" s="11"/>
      <c r="S308" s="11"/>
      <c r="T308" s="11"/>
      <c r="U308" s="11"/>
    </row>
    <row r="309" spans="1:21" x14ac:dyDescent="0.2">
      <c r="A309" s="10"/>
      <c r="B309" s="14"/>
      <c r="R309" s="11"/>
      <c r="S309" s="11"/>
      <c r="T309" s="11"/>
      <c r="U309" s="11"/>
    </row>
    <row r="310" spans="1:21" x14ac:dyDescent="0.2">
      <c r="A310" s="10"/>
      <c r="B310" s="14"/>
      <c r="R310" s="11"/>
      <c r="S310" s="11"/>
      <c r="T310" s="11"/>
      <c r="U310" s="11"/>
    </row>
    <row r="311" spans="1:21" x14ac:dyDescent="0.2">
      <c r="A311" s="10"/>
      <c r="B311" s="14"/>
      <c r="R311" s="11"/>
      <c r="S311" s="11"/>
      <c r="T311" s="11"/>
      <c r="U311" s="11"/>
    </row>
    <row r="312" spans="1:21" x14ac:dyDescent="0.2">
      <c r="A312" s="10"/>
      <c r="B312" s="14"/>
      <c r="R312" s="11"/>
      <c r="S312" s="11"/>
      <c r="T312" s="11"/>
      <c r="U312" s="11"/>
    </row>
    <row r="313" spans="1:21" x14ac:dyDescent="0.2">
      <c r="A313" s="10"/>
      <c r="B313" s="14"/>
      <c r="R313" s="11"/>
      <c r="S313" s="11"/>
      <c r="T313" s="11"/>
      <c r="U313" s="11"/>
    </row>
    <row r="314" spans="1:21" x14ac:dyDescent="0.2">
      <c r="A314" s="10"/>
      <c r="B314" s="14"/>
      <c r="R314" s="11"/>
      <c r="S314" s="11"/>
      <c r="T314" s="11"/>
      <c r="U314" s="11"/>
    </row>
    <row r="315" spans="1:21" x14ac:dyDescent="0.2">
      <c r="A315" s="10"/>
      <c r="B315" s="14"/>
      <c r="R315" s="11"/>
      <c r="S315" s="11"/>
      <c r="T315" s="11"/>
      <c r="U315" s="11"/>
    </row>
    <row r="316" spans="1:21" x14ac:dyDescent="0.2">
      <c r="A316" s="10"/>
      <c r="B316" s="14"/>
      <c r="R316" s="11"/>
      <c r="S316" s="11"/>
      <c r="T316" s="11"/>
      <c r="U316" s="11"/>
    </row>
    <row r="317" spans="1:21" x14ac:dyDescent="0.2">
      <c r="A317" s="10"/>
      <c r="B317" s="14"/>
      <c r="R317" s="11"/>
      <c r="S317" s="11"/>
      <c r="T317" s="11"/>
      <c r="U317" s="11"/>
    </row>
    <row r="318" spans="1:21" x14ac:dyDescent="0.2">
      <c r="A318" s="10"/>
      <c r="B318" s="14"/>
      <c r="R318" s="11"/>
      <c r="S318" s="11"/>
      <c r="T318" s="11"/>
      <c r="U318" s="11"/>
    </row>
    <row r="319" spans="1:21" x14ac:dyDescent="0.2">
      <c r="A319" s="10"/>
      <c r="B319" s="14"/>
      <c r="R319" s="11"/>
      <c r="S319" s="11"/>
      <c r="T319" s="11"/>
      <c r="U319" s="11"/>
    </row>
    <row r="320" spans="1:21" x14ac:dyDescent="0.2">
      <c r="A320" s="10"/>
      <c r="B320" s="14"/>
      <c r="R320" s="11"/>
      <c r="S320" s="11"/>
      <c r="T320" s="11"/>
      <c r="U320" s="11"/>
    </row>
    <row r="321" spans="1:21" x14ac:dyDescent="0.2">
      <c r="A321" s="10"/>
      <c r="B321" s="14"/>
      <c r="R321" s="11"/>
      <c r="S321" s="11"/>
      <c r="T321" s="11"/>
      <c r="U321" s="11"/>
    </row>
    <row r="322" spans="1:21" x14ac:dyDescent="0.2">
      <c r="A322" s="10"/>
      <c r="B322" s="14"/>
      <c r="R322" s="11"/>
      <c r="S322" s="11"/>
      <c r="T322" s="11"/>
      <c r="U322" s="11"/>
    </row>
    <row r="323" spans="1:21" x14ac:dyDescent="0.2">
      <c r="A323" s="10"/>
      <c r="B323" s="14"/>
      <c r="R323" s="11"/>
      <c r="S323" s="11"/>
      <c r="T323" s="11"/>
      <c r="U323" s="11"/>
    </row>
    <row r="324" spans="1:21" x14ac:dyDescent="0.2">
      <c r="A324" s="10"/>
      <c r="B324" s="14"/>
      <c r="R324" s="11"/>
      <c r="S324" s="11"/>
      <c r="T324" s="11"/>
      <c r="U324" s="11"/>
    </row>
    <row r="325" spans="1:21" x14ac:dyDescent="0.2">
      <c r="A325" s="10"/>
      <c r="B325" s="14"/>
      <c r="R325" s="11"/>
      <c r="S325" s="11"/>
      <c r="T325" s="11"/>
      <c r="U325" s="11"/>
    </row>
    <row r="326" spans="1:21" x14ac:dyDescent="0.2">
      <c r="A326" s="10"/>
      <c r="B326" s="14"/>
      <c r="R326" s="11"/>
      <c r="S326" s="11"/>
      <c r="T326" s="11"/>
      <c r="U326" s="11"/>
    </row>
    <row r="327" spans="1:21" x14ac:dyDescent="0.2">
      <c r="A327" s="10"/>
      <c r="B327" s="14"/>
      <c r="R327" s="11"/>
      <c r="S327" s="11"/>
      <c r="T327" s="11"/>
      <c r="U327" s="11"/>
    </row>
    <row r="328" spans="1:21" x14ac:dyDescent="0.2">
      <c r="A328" s="10"/>
      <c r="B328" s="14"/>
      <c r="R328" s="11"/>
      <c r="S328" s="11"/>
      <c r="T328" s="11"/>
      <c r="U328" s="11"/>
    </row>
    <row r="329" spans="1:21" x14ac:dyDescent="0.2">
      <c r="A329" s="10"/>
      <c r="B329" s="14"/>
      <c r="R329" s="11"/>
      <c r="S329" s="11"/>
      <c r="T329" s="11"/>
      <c r="U329" s="11"/>
    </row>
    <row r="330" spans="1:21" x14ac:dyDescent="0.2">
      <c r="A330" s="10"/>
      <c r="B330" s="14"/>
      <c r="R330" s="11"/>
      <c r="S330" s="11"/>
      <c r="T330" s="11"/>
      <c r="U330" s="11"/>
    </row>
    <row r="331" spans="1:21" x14ac:dyDescent="0.2">
      <c r="A331" s="10"/>
      <c r="B331" s="14"/>
      <c r="R331" s="11"/>
      <c r="S331" s="11"/>
      <c r="T331" s="11"/>
      <c r="U331" s="11"/>
    </row>
    <row r="332" spans="1:21" x14ac:dyDescent="0.2">
      <c r="A332" s="10"/>
      <c r="B332" s="14"/>
      <c r="R332" s="11"/>
      <c r="S332" s="11"/>
      <c r="T332" s="11"/>
      <c r="U332" s="11"/>
    </row>
    <row r="333" spans="1:21" x14ac:dyDescent="0.2">
      <c r="A333" s="10"/>
      <c r="B333" s="14"/>
      <c r="R333" s="11"/>
      <c r="S333" s="11"/>
      <c r="T333" s="11"/>
      <c r="U333" s="11"/>
    </row>
    <row r="334" spans="1:21" x14ac:dyDescent="0.2">
      <c r="A334" s="10"/>
      <c r="B334" s="14"/>
      <c r="R334" s="11"/>
      <c r="S334" s="11"/>
      <c r="T334" s="11"/>
      <c r="U334" s="11"/>
    </row>
    <row r="335" spans="1:21" x14ac:dyDescent="0.2">
      <c r="A335" s="10"/>
      <c r="B335" s="14"/>
      <c r="R335" s="11"/>
      <c r="S335" s="11"/>
      <c r="T335" s="11"/>
      <c r="U335" s="11"/>
    </row>
    <row r="336" spans="1:21" x14ac:dyDescent="0.2">
      <c r="A336" s="10"/>
      <c r="B336" s="14"/>
      <c r="R336" s="11"/>
      <c r="S336" s="11"/>
      <c r="T336" s="11"/>
      <c r="U336" s="11"/>
    </row>
    <row r="337" spans="1:21" x14ac:dyDescent="0.2">
      <c r="A337" s="10"/>
      <c r="B337" s="14"/>
      <c r="R337" s="11"/>
      <c r="S337" s="11"/>
      <c r="T337" s="11"/>
      <c r="U337" s="11"/>
    </row>
    <row r="338" spans="1:21" x14ac:dyDescent="0.2">
      <c r="A338" s="10"/>
      <c r="B338" s="14"/>
      <c r="R338" s="11"/>
      <c r="S338" s="11"/>
      <c r="T338" s="11"/>
      <c r="U338" s="11"/>
    </row>
    <row r="339" spans="1:21" x14ac:dyDescent="0.2">
      <c r="A339" s="10"/>
      <c r="B339" s="14"/>
      <c r="R339" s="11"/>
      <c r="S339" s="11"/>
      <c r="T339" s="11"/>
      <c r="U339" s="11"/>
    </row>
    <row r="340" spans="1:21" x14ac:dyDescent="0.2">
      <c r="A340" s="10"/>
      <c r="B340" s="14"/>
      <c r="R340" s="11"/>
      <c r="S340" s="11"/>
      <c r="T340" s="11"/>
      <c r="U340" s="11"/>
    </row>
    <row r="341" spans="1:21" x14ac:dyDescent="0.2">
      <c r="A341" s="10"/>
      <c r="B341" s="14"/>
      <c r="R341" s="11"/>
      <c r="S341" s="11"/>
      <c r="T341" s="11"/>
      <c r="U341" s="11"/>
    </row>
    <row r="342" spans="1:21" x14ac:dyDescent="0.2">
      <c r="A342" s="10"/>
      <c r="B342" s="14"/>
      <c r="R342" s="11"/>
      <c r="S342" s="11"/>
      <c r="T342" s="11"/>
      <c r="U342" s="11"/>
    </row>
    <row r="343" spans="1:21" x14ac:dyDescent="0.2">
      <c r="A343" s="10"/>
      <c r="B343" s="14"/>
      <c r="R343" s="11"/>
      <c r="S343" s="11"/>
      <c r="T343" s="11"/>
      <c r="U343" s="11"/>
    </row>
    <row r="344" spans="1:21" x14ac:dyDescent="0.2">
      <c r="A344" s="10"/>
      <c r="B344" s="14"/>
      <c r="R344" s="11"/>
      <c r="S344" s="11"/>
      <c r="T344" s="11"/>
      <c r="U344" s="11"/>
    </row>
    <row r="345" spans="1:21" x14ac:dyDescent="0.2">
      <c r="A345" s="10"/>
      <c r="B345" s="14"/>
      <c r="R345" s="11"/>
      <c r="S345" s="11"/>
      <c r="T345" s="11"/>
      <c r="U345" s="11"/>
    </row>
    <row r="346" spans="1:21" x14ac:dyDescent="0.2">
      <c r="A346" s="10"/>
      <c r="B346" s="14"/>
      <c r="R346" s="11"/>
      <c r="S346" s="11"/>
      <c r="T346" s="11"/>
      <c r="U346" s="11"/>
    </row>
    <row r="347" spans="1:21" x14ac:dyDescent="0.2">
      <c r="A347" s="10"/>
      <c r="B347" s="14"/>
      <c r="R347" s="11"/>
      <c r="S347" s="11"/>
      <c r="T347" s="11"/>
      <c r="U347" s="11"/>
    </row>
    <row r="348" spans="1:21" x14ac:dyDescent="0.2">
      <c r="A348" s="10"/>
      <c r="B348" s="14"/>
      <c r="R348" s="11"/>
      <c r="S348" s="11"/>
      <c r="T348" s="11"/>
      <c r="U348" s="11"/>
    </row>
    <row r="349" spans="1:21" x14ac:dyDescent="0.2">
      <c r="A349" s="10"/>
      <c r="B349" s="14"/>
      <c r="R349" s="11"/>
      <c r="S349" s="11"/>
      <c r="T349" s="11"/>
      <c r="U349" s="11"/>
    </row>
    <row r="350" spans="1:21" x14ac:dyDescent="0.2">
      <c r="A350" s="10"/>
      <c r="B350" s="14"/>
      <c r="R350" s="11"/>
      <c r="S350" s="11"/>
      <c r="T350" s="11"/>
      <c r="U350" s="11"/>
    </row>
    <row r="351" spans="1:21" x14ac:dyDescent="0.2">
      <c r="A351" s="10"/>
      <c r="B351" s="14"/>
      <c r="R351" s="11"/>
      <c r="S351" s="11"/>
      <c r="T351" s="11"/>
      <c r="U351" s="11"/>
    </row>
    <row r="352" spans="1:21" x14ac:dyDescent="0.2">
      <c r="A352" s="10"/>
      <c r="B352" s="14"/>
      <c r="R352" s="11"/>
      <c r="S352" s="11"/>
      <c r="T352" s="11"/>
      <c r="U352" s="11"/>
    </row>
    <row r="353" spans="1:21" x14ac:dyDescent="0.2">
      <c r="A353" s="10"/>
      <c r="B353" s="14"/>
      <c r="R353" s="11"/>
      <c r="S353" s="11"/>
      <c r="T353" s="11"/>
      <c r="U353" s="11"/>
    </row>
    <row r="354" spans="1:21" x14ac:dyDescent="0.2">
      <c r="A354" s="10"/>
      <c r="B354" s="14"/>
      <c r="R354" s="11"/>
      <c r="S354" s="11"/>
      <c r="T354" s="11"/>
      <c r="U354" s="11"/>
    </row>
    <row r="355" spans="1:21" x14ac:dyDescent="0.2">
      <c r="A355" s="10"/>
      <c r="B355" s="14"/>
      <c r="R355" s="11"/>
      <c r="S355" s="11"/>
      <c r="T355" s="11"/>
      <c r="U355" s="11"/>
    </row>
    <row r="356" spans="1:21" x14ac:dyDescent="0.2">
      <c r="A356" s="10"/>
      <c r="B356" s="14"/>
      <c r="R356" s="11"/>
      <c r="S356" s="11"/>
      <c r="T356" s="11"/>
      <c r="U356" s="11"/>
    </row>
    <row r="357" spans="1:21" x14ac:dyDescent="0.2">
      <c r="A357" s="10"/>
      <c r="B357" s="14"/>
      <c r="R357" s="11"/>
      <c r="S357" s="11"/>
      <c r="T357" s="11"/>
      <c r="U357" s="11"/>
    </row>
    <row r="358" spans="1:21" x14ac:dyDescent="0.2">
      <c r="A358" s="10"/>
      <c r="B358" s="14"/>
      <c r="R358" s="11"/>
      <c r="S358" s="11"/>
      <c r="T358" s="11"/>
      <c r="U358" s="11"/>
    </row>
    <row r="359" spans="1:21" x14ac:dyDescent="0.2">
      <c r="A359" s="10"/>
      <c r="B359" s="14"/>
      <c r="R359" s="11"/>
      <c r="S359" s="11"/>
      <c r="T359" s="11"/>
      <c r="U359" s="11"/>
    </row>
    <row r="360" spans="1:21" x14ac:dyDescent="0.2">
      <c r="A360" s="10"/>
      <c r="B360" s="14"/>
      <c r="R360" s="11"/>
      <c r="S360" s="11"/>
      <c r="T360" s="11"/>
      <c r="U360" s="11"/>
    </row>
    <row r="361" spans="1:21" x14ac:dyDescent="0.2">
      <c r="A361" s="10"/>
      <c r="B361" s="14"/>
      <c r="R361" s="11"/>
      <c r="S361" s="11"/>
      <c r="T361" s="11"/>
      <c r="U361" s="11"/>
    </row>
    <row r="362" spans="1:21" x14ac:dyDescent="0.2">
      <c r="A362" s="10"/>
      <c r="B362" s="14"/>
      <c r="R362" s="11"/>
      <c r="S362" s="11"/>
      <c r="T362" s="11"/>
      <c r="U362" s="11"/>
    </row>
    <row r="363" spans="1:21" x14ac:dyDescent="0.2">
      <c r="A363" s="10"/>
      <c r="B363" s="14"/>
      <c r="R363" s="11"/>
      <c r="S363" s="11"/>
      <c r="T363" s="11"/>
      <c r="U363" s="11"/>
    </row>
    <row r="364" spans="1:21" x14ac:dyDescent="0.2">
      <c r="A364" s="10"/>
      <c r="B364" s="14"/>
      <c r="R364" s="11"/>
      <c r="S364" s="11"/>
      <c r="T364" s="11"/>
      <c r="U364" s="11"/>
    </row>
    <row r="365" spans="1:21" x14ac:dyDescent="0.2">
      <c r="A365" s="10"/>
      <c r="B365" s="14"/>
      <c r="R365" s="11"/>
      <c r="S365" s="11"/>
      <c r="T365" s="11"/>
      <c r="U365" s="11"/>
    </row>
    <row r="366" spans="1:21" x14ac:dyDescent="0.2">
      <c r="A366" s="10"/>
      <c r="B366" s="14"/>
      <c r="R366" s="11"/>
      <c r="S366" s="11"/>
      <c r="T366" s="11"/>
      <c r="U366" s="11"/>
    </row>
    <row r="367" spans="1:21" x14ac:dyDescent="0.2">
      <c r="A367" s="10"/>
      <c r="B367" s="14"/>
      <c r="R367" s="11"/>
      <c r="S367" s="11"/>
      <c r="T367" s="11"/>
      <c r="U367" s="11"/>
    </row>
    <row r="368" spans="1:21" x14ac:dyDescent="0.2">
      <c r="A368" s="10"/>
      <c r="B368" s="14"/>
      <c r="R368" s="11"/>
      <c r="S368" s="11"/>
      <c r="T368" s="11"/>
      <c r="U368" s="11"/>
    </row>
    <row r="369" spans="1:21" x14ac:dyDescent="0.2">
      <c r="A369" s="10"/>
      <c r="B369" s="14"/>
      <c r="R369" s="11"/>
      <c r="S369" s="11"/>
      <c r="T369" s="11"/>
      <c r="U369" s="11"/>
    </row>
    <row r="370" spans="1:21" x14ac:dyDescent="0.2">
      <c r="A370" s="10"/>
      <c r="B370" s="14"/>
      <c r="R370" s="11"/>
      <c r="S370" s="11"/>
      <c r="T370" s="11"/>
      <c r="U370" s="11"/>
    </row>
    <row r="371" spans="1:21" x14ac:dyDescent="0.2">
      <c r="A371" s="10"/>
      <c r="B371" s="14"/>
      <c r="R371" s="11"/>
      <c r="S371" s="11"/>
      <c r="T371" s="11"/>
      <c r="U371" s="11"/>
    </row>
    <row r="372" spans="1:21" x14ac:dyDescent="0.2">
      <c r="A372" s="10"/>
      <c r="B372" s="14"/>
      <c r="R372" s="11"/>
      <c r="S372" s="11"/>
      <c r="T372" s="11"/>
      <c r="U372" s="11"/>
    </row>
    <row r="373" spans="1:21" x14ac:dyDescent="0.2">
      <c r="A373" s="10"/>
      <c r="B373" s="14"/>
      <c r="R373" s="11"/>
      <c r="S373" s="11"/>
      <c r="T373" s="11"/>
      <c r="U373" s="11"/>
    </row>
    <row r="374" spans="1:21" x14ac:dyDescent="0.2">
      <c r="A374" s="10"/>
      <c r="B374" s="14"/>
      <c r="R374" s="11"/>
      <c r="S374" s="11"/>
      <c r="T374" s="11"/>
      <c r="U374" s="11"/>
    </row>
    <row r="375" spans="1:21" x14ac:dyDescent="0.2">
      <c r="A375" s="10"/>
      <c r="B375" s="14"/>
      <c r="R375" s="11"/>
      <c r="S375" s="11"/>
      <c r="T375" s="11"/>
      <c r="U375" s="11"/>
    </row>
    <row r="376" spans="1:21" x14ac:dyDescent="0.2">
      <c r="A376" s="10"/>
      <c r="B376" s="14"/>
      <c r="R376" s="11"/>
      <c r="S376" s="11"/>
      <c r="T376" s="11"/>
      <c r="U376" s="11"/>
    </row>
    <row r="377" spans="1:21" x14ac:dyDescent="0.2">
      <c r="A377" s="10"/>
      <c r="B377" s="14"/>
      <c r="R377" s="11"/>
      <c r="S377" s="11"/>
      <c r="T377" s="11"/>
      <c r="U377" s="11"/>
    </row>
    <row r="378" spans="1:21" x14ac:dyDescent="0.2">
      <c r="A378" s="10"/>
      <c r="B378" s="14"/>
      <c r="R378" s="11"/>
      <c r="S378" s="11"/>
      <c r="T378" s="11"/>
      <c r="U378" s="11"/>
    </row>
    <row r="379" spans="1:21" x14ac:dyDescent="0.2">
      <c r="A379" s="10"/>
      <c r="B379" s="14"/>
      <c r="R379" s="11"/>
      <c r="S379" s="11"/>
      <c r="T379" s="11"/>
      <c r="U379" s="11"/>
    </row>
    <row r="380" spans="1:21" x14ac:dyDescent="0.2">
      <c r="A380" s="10"/>
      <c r="B380" s="14"/>
      <c r="R380" s="11"/>
      <c r="S380" s="11"/>
      <c r="T380" s="11"/>
      <c r="U380" s="11"/>
    </row>
    <row r="381" spans="1:21" x14ac:dyDescent="0.2">
      <c r="A381" s="10"/>
      <c r="B381" s="14"/>
      <c r="R381" s="11"/>
      <c r="S381" s="11"/>
      <c r="T381" s="11"/>
      <c r="U381" s="11"/>
    </row>
    <row r="382" spans="1:21" x14ac:dyDescent="0.2">
      <c r="A382" s="10"/>
      <c r="B382" s="14"/>
      <c r="R382" s="11"/>
      <c r="S382" s="11"/>
      <c r="T382" s="11"/>
      <c r="U382" s="11"/>
    </row>
    <row r="383" spans="1:21" x14ac:dyDescent="0.2">
      <c r="A383" s="10"/>
      <c r="B383" s="14"/>
      <c r="R383" s="11"/>
      <c r="S383" s="11"/>
      <c r="T383" s="11"/>
      <c r="U383" s="11"/>
    </row>
    <row r="384" spans="1:21" x14ac:dyDescent="0.2">
      <c r="A384" s="10"/>
      <c r="B384" s="14"/>
      <c r="R384" s="11"/>
      <c r="S384" s="11"/>
      <c r="T384" s="11"/>
      <c r="U384" s="11"/>
    </row>
    <row r="385" spans="1:21" x14ac:dyDescent="0.2">
      <c r="A385" s="10"/>
      <c r="B385" s="14"/>
      <c r="R385" s="11"/>
      <c r="S385" s="11"/>
      <c r="T385" s="11"/>
      <c r="U385" s="11"/>
    </row>
    <row r="386" spans="1:21" x14ac:dyDescent="0.2">
      <c r="A386" s="10"/>
      <c r="B386" s="14"/>
      <c r="R386" s="11"/>
      <c r="S386" s="11"/>
      <c r="T386" s="11"/>
      <c r="U386" s="11"/>
    </row>
    <row r="387" spans="1:21" x14ac:dyDescent="0.2">
      <c r="A387" s="10"/>
      <c r="B387" s="14"/>
      <c r="R387" s="11"/>
      <c r="S387" s="11"/>
      <c r="T387" s="11"/>
      <c r="U387" s="11"/>
    </row>
    <row r="388" spans="1:21" x14ac:dyDescent="0.2">
      <c r="A388" s="10"/>
      <c r="B388" s="14"/>
      <c r="R388" s="11"/>
      <c r="S388" s="11"/>
      <c r="T388" s="11"/>
      <c r="U388" s="11"/>
    </row>
    <row r="389" spans="1:21" x14ac:dyDescent="0.2">
      <c r="A389" s="10"/>
      <c r="B389" s="14"/>
      <c r="R389" s="11"/>
      <c r="S389" s="11"/>
      <c r="T389" s="11"/>
      <c r="U389" s="11"/>
    </row>
    <row r="390" spans="1:21" x14ac:dyDescent="0.2">
      <c r="A390" s="10"/>
      <c r="B390" s="14"/>
      <c r="R390" s="11"/>
      <c r="S390" s="11"/>
      <c r="T390" s="11"/>
      <c r="U390" s="11"/>
    </row>
    <row r="391" spans="1:21" x14ac:dyDescent="0.2">
      <c r="A391" s="10"/>
      <c r="B391" s="14"/>
      <c r="R391" s="11"/>
      <c r="S391" s="11"/>
      <c r="T391" s="11"/>
      <c r="U391" s="11"/>
    </row>
    <row r="392" spans="1:21" x14ac:dyDescent="0.2">
      <c r="A392" s="10"/>
      <c r="B392" s="14"/>
      <c r="R392" s="11"/>
      <c r="S392" s="11"/>
      <c r="T392" s="11"/>
      <c r="U392" s="11"/>
    </row>
    <row r="393" spans="1:21" x14ac:dyDescent="0.2">
      <c r="A393" s="10"/>
      <c r="B393" s="14"/>
      <c r="R393" s="11"/>
      <c r="S393" s="11"/>
      <c r="T393" s="11"/>
      <c r="U393" s="11"/>
    </row>
    <row r="394" spans="1:21" x14ac:dyDescent="0.2">
      <c r="A394" s="10"/>
      <c r="B394" s="14"/>
      <c r="R394" s="11"/>
      <c r="S394" s="11"/>
      <c r="T394" s="11"/>
      <c r="U394" s="11"/>
    </row>
    <row r="395" spans="1:21" x14ac:dyDescent="0.2">
      <c r="A395" s="10"/>
      <c r="B395" s="14"/>
      <c r="R395" s="11"/>
      <c r="S395" s="11"/>
      <c r="T395" s="11"/>
      <c r="U395" s="11"/>
    </row>
    <row r="396" spans="1:21" x14ac:dyDescent="0.2">
      <c r="A396" s="10"/>
      <c r="B396" s="14"/>
      <c r="R396" s="11"/>
      <c r="S396" s="11"/>
      <c r="T396" s="11"/>
      <c r="U396" s="11"/>
    </row>
    <row r="397" spans="1:21" x14ac:dyDescent="0.2">
      <c r="A397" s="10"/>
      <c r="B397" s="14"/>
      <c r="R397" s="11"/>
      <c r="S397" s="11"/>
      <c r="T397" s="11"/>
      <c r="U397" s="11"/>
    </row>
    <row r="398" spans="1:21" x14ac:dyDescent="0.2">
      <c r="A398" s="10"/>
      <c r="B398" s="14"/>
      <c r="R398" s="11"/>
      <c r="S398" s="11"/>
      <c r="T398" s="11"/>
      <c r="U398" s="11"/>
    </row>
    <row r="399" spans="1:21" x14ac:dyDescent="0.2">
      <c r="A399" s="10"/>
      <c r="B399" s="14"/>
      <c r="R399" s="11"/>
      <c r="S399" s="11"/>
      <c r="T399" s="11"/>
      <c r="U399" s="11"/>
    </row>
    <row r="400" spans="1:21" x14ac:dyDescent="0.2">
      <c r="A400" s="10"/>
      <c r="B400" s="14"/>
      <c r="R400" s="11"/>
      <c r="S400" s="11"/>
      <c r="T400" s="11"/>
      <c r="U400" s="11"/>
    </row>
    <row r="401" spans="1:21" x14ac:dyDescent="0.2">
      <c r="A401" s="10"/>
      <c r="B401" s="14"/>
      <c r="R401" s="11"/>
      <c r="S401" s="11"/>
      <c r="T401" s="11"/>
      <c r="U401" s="11"/>
    </row>
    <row r="402" spans="1:21" x14ac:dyDescent="0.2">
      <c r="A402" s="10"/>
      <c r="B402" s="14"/>
      <c r="R402" s="11"/>
      <c r="S402" s="11"/>
      <c r="T402" s="11"/>
      <c r="U402" s="11"/>
    </row>
    <row r="403" spans="1:21" x14ac:dyDescent="0.2">
      <c r="A403" s="10"/>
      <c r="B403" s="14"/>
      <c r="R403" s="11"/>
      <c r="S403" s="11"/>
      <c r="T403" s="11"/>
      <c r="U403" s="11"/>
    </row>
    <row r="404" spans="1:21" x14ac:dyDescent="0.2">
      <c r="A404" s="10"/>
      <c r="B404" s="14"/>
      <c r="R404" s="11"/>
      <c r="S404" s="11"/>
      <c r="T404" s="11"/>
      <c r="U404" s="11"/>
    </row>
    <row r="405" spans="1:21" x14ac:dyDescent="0.2">
      <c r="A405" s="10"/>
      <c r="B405" s="14"/>
      <c r="R405" s="11"/>
      <c r="S405" s="11"/>
      <c r="T405" s="11"/>
      <c r="U405" s="11"/>
    </row>
    <row r="406" spans="1:21" x14ac:dyDescent="0.2">
      <c r="A406" s="10"/>
      <c r="B406" s="14"/>
      <c r="R406" s="11"/>
      <c r="S406" s="11"/>
      <c r="T406" s="11"/>
      <c r="U406" s="11"/>
    </row>
    <row r="407" spans="1:21" x14ac:dyDescent="0.2">
      <c r="A407" s="10"/>
      <c r="B407" s="14"/>
      <c r="R407" s="11"/>
      <c r="S407" s="11"/>
      <c r="T407" s="11"/>
      <c r="U407" s="11"/>
    </row>
    <row r="408" spans="1:21" x14ac:dyDescent="0.2">
      <c r="A408" s="10"/>
      <c r="B408" s="14"/>
      <c r="R408" s="11"/>
      <c r="S408" s="11"/>
      <c r="T408" s="11"/>
      <c r="U408" s="11"/>
    </row>
    <row r="409" spans="1:21" x14ac:dyDescent="0.2">
      <c r="A409" s="10"/>
      <c r="B409" s="14"/>
      <c r="R409" s="11"/>
      <c r="S409" s="11"/>
      <c r="T409" s="11"/>
      <c r="U409" s="11"/>
    </row>
    <row r="410" spans="1:21" x14ac:dyDescent="0.2">
      <c r="A410" s="10"/>
      <c r="B410" s="14"/>
      <c r="R410" s="11"/>
      <c r="S410" s="11"/>
      <c r="T410" s="11"/>
      <c r="U410" s="11"/>
    </row>
    <row r="411" spans="1:21" x14ac:dyDescent="0.2">
      <c r="A411" s="10"/>
      <c r="B411" s="14"/>
      <c r="R411" s="11"/>
      <c r="S411" s="11"/>
      <c r="T411" s="11"/>
      <c r="U411" s="11"/>
    </row>
    <row r="412" spans="1:21" x14ac:dyDescent="0.2">
      <c r="A412" s="10"/>
      <c r="B412" s="14"/>
      <c r="R412" s="11"/>
      <c r="S412" s="11"/>
      <c r="T412" s="11"/>
      <c r="U412" s="11"/>
    </row>
    <row r="413" spans="1:21" x14ac:dyDescent="0.2">
      <c r="A413" s="10"/>
      <c r="B413" s="14"/>
      <c r="R413" s="11"/>
      <c r="S413" s="11"/>
      <c r="T413" s="11"/>
      <c r="U413" s="11"/>
    </row>
    <row r="414" spans="1:21" x14ac:dyDescent="0.2">
      <c r="A414" s="10"/>
      <c r="B414" s="14"/>
      <c r="R414" s="11"/>
      <c r="S414" s="11"/>
      <c r="T414" s="11"/>
      <c r="U414" s="11"/>
    </row>
    <row r="415" spans="1:21" x14ac:dyDescent="0.2">
      <c r="A415" s="10"/>
      <c r="B415" s="14"/>
      <c r="R415" s="11"/>
      <c r="S415" s="11"/>
      <c r="T415" s="11"/>
      <c r="U415" s="11"/>
    </row>
    <row r="416" spans="1:21" x14ac:dyDescent="0.2">
      <c r="A416" s="10"/>
      <c r="B416" s="14"/>
      <c r="R416" s="11"/>
      <c r="S416" s="11"/>
      <c r="T416" s="11"/>
      <c r="U416" s="11"/>
    </row>
    <row r="417" spans="1:21" x14ac:dyDescent="0.2">
      <c r="A417" s="10"/>
      <c r="B417" s="14"/>
      <c r="R417" s="11"/>
      <c r="S417" s="11"/>
      <c r="T417" s="11"/>
      <c r="U417" s="11"/>
    </row>
    <row r="418" spans="1:21" x14ac:dyDescent="0.2">
      <c r="A418" s="10"/>
      <c r="B418" s="14"/>
      <c r="R418" s="11"/>
      <c r="S418" s="11"/>
      <c r="T418" s="11"/>
      <c r="U418" s="11"/>
    </row>
    <row r="419" spans="1:21" x14ac:dyDescent="0.2">
      <c r="A419" s="10"/>
      <c r="B419" s="14"/>
      <c r="R419" s="11"/>
      <c r="S419" s="11"/>
      <c r="T419" s="11"/>
      <c r="U419" s="11"/>
    </row>
    <row r="420" spans="1:21" x14ac:dyDescent="0.2">
      <c r="A420" s="10"/>
      <c r="B420" s="14"/>
      <c r="R420" s="11"/>
      <c r="S420" s="11"/>
      <c r="T420" s="11"/>
      <c r="U420" s="11"/>
    </row>
    <row r="421" spans="1:21" x14ac:dyDescent="0.2">
      <c r="A421" s="10"/>
      <c r="B421" s="14"/>
      <c r="R421" s="11"/>
      <c r="S421" s="11"/>
      <c r="T421" s="11"/>
      <c r="U421" s="11"/>
    </row>
    <row r="422" spans="1:21" x14ac:dyDescent="0.2">
      <c r="A422" s="10"/>
      <c r="B422" s="14"/>
      <c r="R422" s="11"/>
      <c r="S422" s="11"/>
      <c r="T422" s="11"/>
      <c r="U422" s="11"/>
    </row>
    <row r="423" spans="1:21" x14ac:dyDescent="0.2">
      <c r="A423" s="10"/>
      <c r="B423" s="14"/>
      <c r="R423" s="11"/>
      <c r="S423" s="11"/>
      <c r="T423" s="11"/>
      <c r="U423" s="11"/>
    </row>
    <row r="424" spans="1:21" x14ac:dyDescent="0.2">
      <c r="A424" s="10"/>
      <c r="B424" s="14"/>
      <c r="R424" s="11"/>
      <c r="S424" s="11"/>
      <c r="T424" s="11"/>
      <c r="U424" s="11"/>
    </row>
    <row r="425" spans="1:21" x14ac:dyDescent="0.2">
      <c r="A425" s="10"/>
      <c r="B425" s="14"/>
      <c r="R425" s="11"/>
      <c r="S425" s="11"/>
      <c r="T425" s="11"/>
      <c r="U425" s="11"/>
    </row>
    <row r="426" spans="1:21" x14ac:dyDescent="0.2">
      <c r="A426" s="10"/>
      <c r="B426" s="14"/>
      <c r="R426" s="11"/>
      <c r="S426" s="11"/>
      <c r="T426" s="11"/>
      <c r="U426" s="11"/>
    </row>
    <row r="427" spans="1:21" x14ac:dyDescent="0.2">
      <c r="A427" s="10"/>
      <c r="B427" s="14"/>
      <c r="R427" s="11"/>
      <c r="S427" s="11"/>
      <c r="T427" s="11"/>
      <c r="U427" s="11"/>
    </row>
    <row r="428" spans="1:21" x14ac:dyDescent="0.2">
      <c r="A428" s="10"/>
      <c r="B428" s="14"/>
      <c r="R428" s="11"/>
      <c r="S428" s="11"/>
      <c r="T428" s="11"/>
      <c r="U428" s="11"/>
    </row>
    <row r="429" spans="1:21" x14ac:dyDescent="0.2">
      <c r="A429" s="10"/>
      <c r="B429" s="14"/>
      <c r="R429" s="11"/>
      <c r="S429" s="11"/>
      <c r="T429" s="11"/>
      <c r="U429" s="11"/>
    </row>
    <row r="430" spans="1:21" x14ac:dyDescent="0.2">
      <c r="A430" s="10"/>
      <c r="B430" s="14"/>
      <c r="R430" s="11"/>
      <c r="S430" s="11"/>
      <c r="T430" s="11"/>
      <c r="U430" s="11"/>
    </row>
    <row r="431" spans="1:21" x14ac:dyDescent="0.2">
      <c r="A431" s="10"/>
      <c r="B431" s="14"/>
      <c r="R431" s="11"/>
      <c r="S431" s="11"/>
      <c r="T431" s="11"/>
      <c r="U431" s="11"/>
    </row>
    <row r="432" spans="1:21" x14ac:dyDescent="0.2">
      <c r="A432" s="10"/>
      <c r="B432" s="14"/>
      <c r="R432" s="11"/>
      <c r="S432" s="11"/>
      <c r="T432" s="11"/>
      <c r="U432" s="11"/>
    </row>
    <row r="433" spans="1:21" x14ac:dyDescent="0.2">
      <c r="A433" s="10"/>
      <c r="B433" s="14"/>
      <c r="R433" s="11"/>
      <c r="S433" s="11"/>
      <c r="T433" s="11"/>
      <c r="U433" s="11"/>
    </row>
    <row r="434" spans="1:21" x14ac:dyDescent="0.2">
      <c r="A434" s="10"/>
      <c r="B434" s="14"/>
      <c r="R434" s="11"/>
      <c r="S434" s="11"/>
      <c r="T434" s="11"/>
      <c r="U434" s="11"/>
    </row>
    <row r="435" spans="1:21" x14ac:dyDescent="0.2">
      <c r="A435" s="10"/>
      <c r="B435" s="14"/>
      <c r="R435" s="11"/>
      <c r="S435" s="11"/>
      <c r="T435" s="11"/>
      <c r="U435" s="11"/>
    </row>
    <row r="436" spans="1:21" x14ac:dyDescent="0.2">
      <c r="A436" s="10"/>
      <c r="B436" s="14"/>
      <c r="R436" s="11"/>
      <c r="S436" s="11"/>
      <c r="T436" s="11"/>
      <c r="U436" s="11"/>
    </row>
    <row r="437" spans="1:21" x14ac:dyDescent="0.2">
      <c r="A437" s="10"/>
      <c r="B437" s="14"/>
      <c r="R437" s="11"/>
      <c r="S437" s="11"/>
      <c r="T437" s="11"/>
      <c r="U437" s="11"/>
    </row>
    <row r="438" spans="1:21" x14ac:dyDescent="0.2">
      <c r="A438" s="10"/>
      <c r="B438" s="14"/>
      <c r="R438" s="11"/>
      <c r="S438" s="11"/>
      <c r="T438" s="11"/>
      <c r="U438" s="11"/>
    </row>
    <row r="439" spans="1:21" x14ac:dyDescent="0.2">
      <c r="A439" s="10"/>
      <c r="B439" s="14"/>
      <c r="R439" s="11"/>
      <c r="S439" s="11"/>
      <c r="T439" s="11"/>
      <c r="U439" s="11"/>
    </row>
    <row r="440" spans="1:21" x14ac:dyDescent="0.2">
      <c r="A440" s="10"/>
      <c r="B440" s="14"/>
      <c r="R440" s="11"/>
      <c r="S440" s="11"/>
      <c r="T440" s="11"/>
      <c r="U440" s="11"/>
    </row>
    <row r="441" spans="1:21" x14ac:dyDescent="0.2">
      <c r="A441" s="10"/>
      <c r="B441" s="14"/>
      <c r="R441" s="11"/>
      <c r="S441" s="11"/>
      <c r="T441" s="11"/>
      <c r="U441" s="11"/>
    </row>
    <row r="442" spans="1:21" x14ac:dyDescent="0.2">
      <c r="A442" s="10"/>
      <c r="B442" s="14"/>
      <c r="R442" s="11"/>
      <c r="S442" s="11"/>
      <c r="T442" s="11"/>
      <c r="U442" s="11"/>
    </row>
    <row r="443" spans="1:21" x14ac:dyDescent="0.2">
      <c r="A443" s="10"/>
      <c r="B443" s="14"/>
      <c r="R443" s="11"/>
      <c r="S443" s="11"/>
      <c r="T443" s="11"/>
      <c r="U443" s="11"/>
    </row>
    <row r="444" spans="1:21" x14ac:dyDescent="0.2">
      <c r="A444" s="10"/>
      <c r="B444" s="14"/>
      <c r="R444" s="11"/>
      <c r="S444" s="11"/>
      <c r="T444" s="11"/>
      <c r="U444" s="11"/>
    </row>
    <row r="445" spans="1:21" x14ac:dyDescent="0.2">
      <c r="A445" s="10"/>
      <c r="B445" s="14"/>
      <c r="R445" s="11"/>
      <c r="S445" s="11"/>
      <c r="T445" s="11"/>
      <c r="U445" s="11"/>
    </row>
    <row r="446" spans="1:21" x14ac:dyDescent="0.2">
      <c r="A446" s="10"/>
      <c r="B446" s="14"/>
      <c r="R446" s="11"/>
      <c r="S446" s="11"/>
      <c r="T446" s="11"/>
      <c r="U446" s="11"/>
    </row>
    <row r="447" spans="1:21" x14ac:dyDescent="0.2">
      <c r="A447" s="10"/>
      <c r="B447" s="14"/>
      <c r="R447" s="11"/>
      <c r="S447" s="11"/>
      <c r="T447" s="11"/>
      <c r="U447" s="11"/>
    </row>
    <row r="448" spans="1:21" x14ac:dyDescent="0.2">
      <c r="A448" s="10"/>
      <c r="B448" s="14"/>
      <c r="R448" s="11"/>
      <c r="S448" s="11"/>
      <c r="T448" s="11"/>
      <c r="U448" s="11"/>
    </row>
    <row r="449" spans="1:21" x14ac:dyDescent="0.2">
      <c r="A449" s="10"/>
      <c r="B449" s="14"/>
      <c r="R449" s="11"/>
      <c r="S449" s="11"/>
      <c r="T449" s="11"/>
      <c r="U449" s="11"/>
    </row>
    <row r="450" spans="1:21" x14ac:dyDescent="0.2">
      <c r="A450" s="10"/>
      <c r="B450" s="14"/>
      <c r="R450" s="11"/>
      <c r="S450" s="11"/>
      <c r="T450" s="11"/>
      <c r="U450" s="11"/>
    </row>
    <row r="451" spans="1:21" x14ac:dyDescent="0.2">
      <c r="A451" s="10"/>
      <c r="B451" s="14"/>
      <c r="R451" s="11"/>
      <c r="S451" s="11"/>
      <c r="T451" s="11"/>
      <c r="U451" s="11"/>
    </row>
    <row r="452" spans="1:21" x14ac:dyDescent="0.2">
      <c r="A452" s="10"/>
      <c r="B452" s="14"/>
      <c r="R452" s="11"/>
      <c r="S452" s="11"/>
      <c r="T452" s="11"/>
      <c r="U452" s="11"/>
    </row>
    <row r="453" spans="1:21" x14ac:dyDescent="0.2">
      <c r="A453" s="10"/>
      <c r="B453" s="14"/>
      <c r="R453" s="11"/>
      <c r="S453" s="11"/>
      <c r="T453" s="11"/>
      <c r="U453" s="11"/>
    </row>
    <row r="454" spans="1:21" x14ac:dyDescent="0.2">
      <c r="A454" s="10"/>
      <c r="B454" s="14"/>
      <c r="R454" s="11"/>
      <c r="S454" s="11"/>
      <c r="T454" s="11"/>
      <c r="U454" s="11"/>
    </row>
    <row r="455" spans="1:21" x14ac:dyDescent="0.2">
      <c r="A455" s="10"/>
      <c r="B455" s="14"/>
      <c r="R455" s="11"/>
      <c r="S455" s="11"/>
      <c r="T455" s="11"/>
      <c r="U455" s="11"/>
    </row>
    <row r="456" spans="1:21" x14ac:dyDescent="0.2">
      <c r="A456" s="10"/>
      <c r="B456" s="14"/>
      <c r="R456" s="11"/>
      <c r="S456" s="11"/>
      <c r="T456" s="11"/>
      <c r="U456" s="11"/>
    </row>
    <row r="457" spans="1:21" x14ac:dyDescent="0.2">
      <c r="A457" s="10"/>
      <c r="B457" s="14"/>
      <c r="R457" s="11"/>
      <c r="S457" s="11"/>
      <c r="T457" s="11"/>
      <c r="U457" s="11"/>
    </row>
    <row r="458" spans="1:21" x14ac:dyDescent="0.2">
      <c r="A458" s="10"/>
      <c r="B458" s="14"/>
      <c r="R458" s="11"/>
      <c r="S458" s="11"/>
      <c r="T458" s="11"/>
      <c r="U458" s="11"/>
    </row>
    <row r="459" spans="1:21" x14ac:dyDescent="0.2">
      <c r="A459" s="10"/>
      <c r="B459" s="14"/>
      <c r="R459" s="11"/>
      <c r="S459" s="11"/>
      <c r="T459" s="11"/>
      <c r="U459" s="11"/>
    </row>
    <row r="460" spans="1:21" x14ac:dyDescent="0.2">
      <c r="A460" s="10"/>
      <c r="B460" s="14"/>
      <c r="R460" s="11"/>
      <c r="S460" s="11"/>
      <c r="T460" s="11"/>
      <c r="U460" s="11"/>
    </row>
    <row r="461" spans="1:21" x14ac:dyDescent="0.2">
      <c r="A461" s="10"/>
      <c r="B461" s="14"/>
      <c r="R461" s="11"/>
      <c r="S461" s="11"/>
      <c r="T461" s="11"/>
      <c r="U461" s="11"/>
    </row>
    <row r="462" spans="1:21" x14ac:dyDescent="0.2">
      <c r="A462" s="10"/>
      <c r="B462" s="14"/>
      <c r="R462" s="11"/>
      <c r="S462" s="11"/>
      <c r="T462" s="11"/>
      <c r="U462" s="11"/>
    </row>
    <row r="463" spans="1:21" x14ac:dyDescent="0.2">
      <c r="A463" s="10"/>
      <c r="B463" s="14"/>
      <c r="R463" s="11"/>
      <c r="S463" s="11"/>
      <c r="T463" s="11"/>
      <c r="U463" s="11"/>
    </row>
    <row r="464" spans="1:21" x14ac:dyDescent="0.2">
      <c r="A464" s="10"/>
      <c r="B464" s="14"/>
      <c r="R464" s="11"/>
      <c r="S464" s="11"/>
      <c r="T464" s="11"/>
      <c r="U464" s="11"/>
    </row>
    <row r="465" spans="1:21" x14ac:dyDescent="0.2">
      <c r="A465" s="10"/>
      <c r="B465" s="14"/>
      <c r="R465" s="11"/>
      <c r="S465" s="11"/>
      <c r="T465" s="11"/>
      <c r="U465" s="11"/>
    </row>
    <row r="466" spans="1:21" x14ac:dyDescent="0.2">
      <c r="A466" s="10"/>
      <c r="B466" s="14"/>
      <c r="R466" s="11"/>
      <c r="S466" s="11"/>
      <c r="T466" s="11"/>
      <c r="U466" s="11"/>
    </row>
    <row r="467" spans="1:21" x14ac:dyDescent="0.2">
      <c r="A467" s="10"/>
      <c r="B467" s="14"/>
      <c r="R467" s="11"/>
      <c r="S467" s="11"/>
      <c r="T467" s="11"/>
      <c r="U467" s="11"/>
    </row>
    <row r="468" spans="1:21" x14ac:dyDescent="0.2">
      <c r="A468" s="10"/>
      <c r="B468" s="14"/>
      <c r="R468" s="11"/>
      <c r="S468" s="11"/>
      <c r="T468" s="11"/>
      <c r="U468" s="11"/>
    </row>
    <row r="469" spans="1:21" x14ac:dyDescent="0.2">
      <c r="A469" s="10"/>
      <c r="B469" s="14"/>
      <c r="R469" s="11"/>
      <c r="S469" s="11"/>
      <c r="T469" s="11"/>
      <c r="U469" s="11"/>
    </row>
    <row r="470" spans="1:21" x14ac:dyDescent="0.2">
      <c r="A470" s="10"/>
      <c r="B470" s="14"/>
      <c r="R470" s="11"/>
      <c r="S470" s="11"/>
      <c r="T470" s="11"/>
      <c r="U470" s="11"/>
    </row>
    <row r="471" spans="1:21" x14ac:dyDescent="0.2">
      <c r="A471" s="10"/>
      <c r="B471" s="14"/>
      <c r="R471" s="11"/>
      <c r="S471" s="11"/>
      <c r="T471" s="11"/>
      <c r="U471" s="11"/>
    </row>
    <row r="472" spans="1:21" x14ac:dyDescent="0.2">
      <c r="A472" s="10"/>
      <c r="B472" s="14"/>
      <c r="R472" s="11"/>
      <c r="S472" s="11"/>
      <c r="T472" s="11"/>
      <c r="U472" s="11"/>
    </row>
    <row r="473" spans="1:21" x14ac:dyDescent="0.2">
      <c r="A473" s="10"/>
      <c r="B473" s="14"/>
      <c r="R473" s="11"/>
      <c r="S473" s="11"/>
      <c r="T473" s="11"/>
      <c r="U473" s="11"/>
    </row>
    <row r="474" spans="1:21" x14ac:dyDescent="0.2">
      <c r="A474" s="10"/>
      <c r="B474" s="14"/>
      <c r="R474" s="11"/>
      <c r="S474" s="11"/>
      <c r="T474" s="11"/>
      <c r="U474" s="11"/>
    </row>
    <row r="475" spans="1:21" x14ac:dyDescent="0.2">
      <c r="A475" s="10"/>
      <c r="B475" s="14"/>
      <c r="R475" s="11"/>
      <c r="S475" s="11"/>
      <c r="T475" s="11"/>
      <c r="U475" s="11"/>
    </row>
    <row r="476" spans="1:21" x14ac:dyDescent="0.2">
      <c r="A476" s="10"/>
      <c r="B476" s="14"/>
      <c r="R476" s="11"/>
      <c r="S476" s="11"/>
      <c r="T476" s="11"/>
      <c r="U476" s="11"/>
    </row>
    <row r="477" spans="1:21" x14ac:dyDescent="0.2">
      <c r="A477" s="10"/>
      <c r="B477" s="14"/>
      <c r="R477" s="11"/>
      <c r="S477" s="11"/>
      <c r="T477" s="11"/>
      <c r="U477" s="11"/>
    </row>
    <row r="478" spans="1:21" x14ac:dyDescent="0.2">
      <c r="A478" s="10"/>
      <c r="B478" s="14"/>
      <c r="R478" s="11"/>
      <c r="S478" s="11"/>
      <c r="T478" s="11"/>
      <c r="U478" s="11"/>
    </row>
    <row r="479" spans="1:21" x14ac:dyDescent="0.2">
      <c r="A479" s="10"/>
      <c r="B479" s="14"/>
      <c r="R479" s="11"/>
      <c r="S479" s="11"/>
      <c r="T479" s="11"/>
      <c r="U479" s="11"/>
    </row>
    <row r="480" spans="1:21" x14ac:dyDescent="0.2">
      <c r="A480" s="10"/>
      <c r="B480" s="14"/>
      <c r="R480" s="11"/>
      <c r="S480" s="11"/>
      <c r="T480" s="11"/>
      <c r="U480" s="11"/>
    </row>
    <row r="481" spans="1:21" x14ac:dyDescent="0.2">
      <c r="A481" s="10"/>
      <c r="B481" s="14"/>
      <c r="R481" s="11"/>
      <c r="S481" s="11"/>
      <c r="T481" s="11"/>
      <c r="U481" s="11"/>
    </row>
    <row r="482" spans="1:21" x14ac:dyDescent="0.2">
      <c r="A482" s="10"/>
      <c r="B482" s="14"/>
      <c r="R482" s="11"/>
      <c r="S482" s="11"/>
      <c r="T482" s="11"/>
      <c r="U482" s="11"/>
    </row>
    <row r="483" spans="1:21" x14ac:dyDescent="0.2">
      <c r="A483" s="10"/>
      <c r="B483" s="14"/>
      <c r="R483" s="11"/>
      <c r="S483" s="11"/>
      <c r="T483" s="11"/>
      <c r="U483" s="11"/>
    </row>
    <row r="484" spans="1:21" x14ac:dyDescent="0.2">
      <c r="A484" s="10"/>
      <c r="B484" s="14"/>
      <c r="R484" s="11"/>
      <c r="S484" s="11"/>
      <c r="T484" s="11"/>
      <c r="U484" s="11"/>
    </row>
    <row r="485" spans="1:21" x14ac:dyDescent="0.2">
      <c r="A485" s="10"/>
      <c r="B485" s="14"/>
      <c r="R485" s="11"/>
      <c r="S485" s="11"/>
      <c r="T485" s="11"/>
      <c r="U485" s="11"/>
    </row>
    <row r="486" spans="1:21" x14ac:dyDescent="0.2">
      <c r="A486" s="10"/>
      <c r="B486" s="14"/>
      <c r="R486" s="11"/>
      <c r="S486" s="11"/>
      <c r="T486" s="11"/>
      <c r="U486" s="11"/>
    </row>
    <row r="487" spans="1:21" x14ac:dyDescent="0.2">
      <c r="A487" s="10"/>
      <c r="B487" s="14"/>
      <c r="R487" s="11"/>
      <c r="S487" s="11"/>
      <c r="T487" s="11"/>
      <c r="U487" s="11"/>
    </row>
    <row r="488" spans="1:21" x14ac:dyDescent="0.2">
      <c r="A488" s="10"/>
      <c r="B488" s="14"/>
      <c r="R488" s="11"/>
      <c r="S488" s="11"/>
      <c r="T488" s="11"/>
      <c r="U488" s="11"/>
    </row>
    <row r="489" spans="1:21" x14ac:dyDescent="0.2">
      <c r="A489" s="10"/>
      <c r="B489" s="14"/>
      <c r="R489" s="11"/>
      <c r="S489" s="11"/>
      <c r="T489" s="11"/>
      <c r="U489" s="11"/>
    </row>
    <row r="490" spans="1:21" x14ac:dyDescent="0.2">
      <c r="A490" s="10"/>
      <c r="B490" s="14"/>
      <c r="R490" s="11"/>
      <c r="S490" s="11"/>
      <c r="T490" s="11"/>
      <c r="U490" s="11"/>
    </row>
    <row r="491" spans="1:21" x14ac:dyDescent="0.2">
      <c r="A491" s="10"/>
      <c r="B491" s="14"/>
      <c r="R491" s="11"/>
      <c r="S491" s="11"/>
      <c r="T491" s="11"/>
      <c r="U491" s="11"/>
    </row>
    <row r="492" spans="1:21" x14ac:dyDescent="0.2">
      <c r="A492" s="10"/>
      <c r="B492" s="14"/>
      <c r="R492" s="11"/>
      <c r="S492" s="11"/>
      <c r="T492" s="11"/>
      <c r="U492" s="11"/>
    </row>
    <row r="493" spans="1:21" x14ac:dyDescent="0.2">
      <c r="A493" s="10"/>
      <c r="B493" s="14"/>
      <c r="R493" s="11"/>
      <c r="S493" s="11"/>
      <c r="T493" s="11"/>
      <c r="U493" s="11"/>
    </row>
    <row r="494" spans="1:21" x14ac:dyDescent="0.2">
      <c r="A494" s="10"/>
      <c r="B494" s="14"/>
      <c r="R494" s="11"/>
      <c r="S494" s="11"/>
      <c r="T494" s="11"/>
      <c r="U494" s="11"/>
    </row>
    <row r="495" spans="1:21" x14ac:dyDescent="0.2">
      <c r="A495" s="10"/>
      <c r="B495" s="14"/>
      <c r="R495" s="11"/>
      <c r="S495" s="11"/>
      <c r="T495" s="11"/>
      <c r="U495" s="11"/>
    </row>
    <row r="496" spans="1:21" x14ac:dyDescent="0.2">
      <c r="A496" s="10"/>
      <c r="B496" s="14"/>
      <c r="R496" s="11"/>
      <c r="S496" s="11"/>
      <c r="T496" s="11"/>
      <c r="U496" s="11"/>
    </row>
    <row r="497" spans="1:21" x14ac:dyDescent="0.2">
      <c r="A497" s="10"/>
      <c r="B497" s="14"/>
      <c r="R497" s="11"/>
      <c r="S497" s="11"/>
      <c r="T497" s="11"/>
      <c r="U497" s="11"/>
    </row>
    <row r="498" spans="1:21" x14ac:dyDescent="0.2">
      <c r="A498" s="10"/>
      <c r="B498" s="14"/>
      <c r="R498" s="11"/>
      <c r="S498" s="11"/>
      <c r="T498" s="11"/>
      <c r="U498" s="11"/>
    </row>
    <row r="499" spans="1:21" x14ac:dyDescent="0.2">
      <c r="A499" s="10"/>
      <c r="B499" s="14"/>
      <c r="R499" s="11"/>
      <c r="S499" s="11"/>
      <c r="T499" s="11"/>
      <c r="U499" s="11"/>
    </row>
    <row r="500" spans="1:21" x14ac:dyDescent="0.2">
      <c r="A500" s="10"/>
      <c r="B500" s="14"/>
      <c r="R500" s="11"/>
      <c r="S500" s="11"/>
      <c r="T500" s="11"/>
      <c r="U500" s="11"/>
    </row>
    <row r="501" spans="1:21" x14ac:dyDescent="0.2">
      <c r="A501" s="10"/>
      <c r="B501" s="14"/>
    </row>
    <row r="502" spans="1:21" x14ac:dyDescent="0.2">
      <c r="A502" s="10"/>
      <c r="B502" s="14"/>
    </row>
    <row r="503" spans="1:21" x14ac:dyDescent="0.2">
      <c r="A503" s="10"/>
      <c r="B503" s="14"/>
    </row>
    <row r="504" spans="1:21" x14ac:dyDescent="0.2">
      <c r="A504" s="10"/>
      <c r="B504" s="14"/>
    </row>
    <row r="505" spans="1:21" x14ac:dyDescent="0.2">
      <c r="A505" s="10"/>
      <c r="B505" s="14"/>
    </row>
    <row r="506" spans="1:21" x14ac:dyDescent="0.2">
      <c r="A506" s="10"/>
      <c r="B506" s="14"/>
    </row>
    <row r="507" spans="1:21" x14ac:dyDescent="0.2">
      <c r="A507" s="10"/>
      <c r="B507" s="14"/>
    </row>
    <row r="508" spans="1:21" x14ac:dyDescent="0.2">
      <c r="A508" s="10"/>
      <c r="B508" s="14"/>
    </row>
    <row r="509" spans="1:21" x14ac:dyDescent="0.2">
      <c r="A509" s="10"/>
      <c r="B509" s="14"/>
    </row>
    <row r="510" spans="1:21" x14ac:dyDescent="0.2">
      <c r="A510" s="10"/>
      <c r="B510" s="14"/>
    </row>
    <row r="511" spans="1:21" x14ac:dyDescent="0.2">
      <c r="A511" s="10"/>
      <c r="B511" s="14"/>
    </row>
    <row r="512" spans="1:21" x14ac:dyDescent="0.2">
      <c r="A512" s="10"/>
      <c r="B512" s="14"/>
    </row>
    <row r="513" spans="1:2" x14ac:dyDescent="0.2">
      <c r="A513" s="10"/>
      <c r="B513" s="14"/>
    </row>
    <row r="514" spans="1:2" x14ac:dyDescent="0.2">
      <c r="A514" s="10"/>
      <c r="B514" s="14"/>
    </row>
    <row r="515" spans="1:2" x14ac:dyDescent="0.2">
      <c r="A515" s="10"/>
      <c r="B515" s="14"/>
    </row>
    <row r="516" spans="1:2" x14ac:dyDescent="0.2">
      <c r="A516" s="10"/>
      <c r="B516" s="14"/>
    </row>
    <row r="517" spans="1:2" x14ac:dyDescent="0.2">
      <c r="A517" s="10"/>
      <c r="B517" s="14"/>
    </row>
    <row r="518" spans="1:2" x14ac:dyDescent="0.2">
      <c r="A518" s="10"/>
      <c r="B518" s="14"/>
    </row>
    <row r="519" spans="1:2" x14ac:dyDescent="0.2">
      <c r="A519" s="10"/>
      <c r="B519" s="14"/>
    </row>
    <row r="520" spans="1:2" x14ac:dyDescent="0.2">
      <c r="A520" s="10"/>
      <c r="B520" s="14"/>
    </row>
    <row r="521" spans="1:2" x14ac:dyDescent="0.2">
      <c r="A521" s="10"/>
      <c r="B521" s="14"/>
    </row>
    <row r="522" spans="1:2" x14ac:dyDescent="0.2">
      <c r="A522" s="10"/>
      <c r="B522" s="14"/>
    </row>
    <row r="523" spans="1:2" x14ac:dyDescent="0.2">
      <c r="A523" s="10"/>
      <c r="B523" s="14"/>
    </row>
    <row r="524" spans="1:2" x14ac:dyDescent="0.2">
      <c r="A524" s="10"/>
      <c r="B524" s="14"/>
    </row>
    <row r="525" spans="1:2" x14ac:dyDescent="0.2">
      <c r="A525" s="10"/>
      <c r="B525" s="14"/>
    </row>
    <row r="526" spans="1:2" x14ac:dyDescent="0.2">
      <c r="A526" s="10"/>
      <c r="B526" s="14"/>
    </row>
    <row r="527" spans="1:2" x14ac:dyDescent="0.2">
      <c r="A527" s="10"/>
      <c r="B527" s="14"/>
    </row>
    <row r="528" spans="1:2" x14ac:dyDescent="0.2">
      <c r="A528" s="10"/>
      <c r="B528" s="14"/>
    </row>
    <row r="529" spans="1:2" x14ac:dyDescent="0.2">
      <c r="A529" s="10"/>
      <c r="B529" s="14"/>
    </row>
    <row r="530" spans="1:2" x14ac:dyDescent="0.2">
      <c r="A530" s="10"/>
      <c r="B530" s="14"/>
    </row>
    <row r="531" spans="1:2" x14ac:dyDescent="0.2">
      <c r="A531" s="10"/>
      <c r="B531" s="14"/>
    </row>
    <row r="532" spans="1:2" x14ac:dyDescent="0.2">
      <c r="A532" s="10"/>
      <c r="B532" s="14"/>
    </row>
    <row r="533" spans="1:2" x14ac:dyDescent="0.2">
      <c r="A533" s="10"/>
      <c r="B533" s="14"/>
    </row>
    <row r="534" spans="1:2" x14ac:dyDescent="0.2">
      <c r="A534" s="10"/>
      <c r="B534" s="14"/>
    </row>
    <row r="535" spans="1:2" x14ac:dyDescent="0.2">
      <c r="A535" s="10"/>
      <c r="B535" s="14"/>
    </row>
    <row r="536" spans="1:2" x14ac:dyDescent="0.2">
      <c r="A536" s="10"/>
      <c r="B536" s="14"/>
    </row>
    <row r="537" spans="1:2" x14ac:dyDescent="0.2">
      <c r="A537" s="10"/>
      <c r="B537" s="14"/>
    </row>
    <row r="538" spans="1:2" x14ac:dyDescent="0.2">
      <c r="A538" s="10"/>
      <c r="B538" s="14"/>
    </row>
    <row r="539" spans="1:2" x14ac:dyDescent="0.2">
      <c r="A539" s="10"/>
      <c r="B539" s="14"/>
    </row>
    <row r="540" spans="1:2" x14ac:dyDescent="0.2">
      <c r="A540" s="10"/>
      <c r="B540" s="14"/>
    </row>
    <row r="541" spans="1:2" x14ac:dyDescent="0.2">
      <c r="A541" s="10"/>
      <c r="B541" s="14"/>
    </row>
    <row r="542" spans="1:2" x14ac:dyDescent="0.2">
      <c r="A542" s="10"/>
      <c r="B542" s="14"/>
    </row>
    <row r="543" spans="1:2" x14ac:dyDescent="0.2">
      <c r="A543" s="10"/>
      <c r="B543" s="14"/>
    </row>
    <row r="544" spans="1:2" x14ac:dyDescent="0.2">
      <c r="A544" s="10"/>
      <c r="B544" s="14"/>
    </row>
    <row r="545" spans="1:2" x14ac:dyDescent="0.2">
      <c r="A545" s="10"/>
      <c r="B545" s="14"/>
    </row>
    <row r="546" spans="1:2" x14ac:dyDescent="0.2">
      <c r="A546" s="10"/>
      <c r="B546" s="14"/>
    </row>
    <row r="547" spans="1:2" x14ac:dyDescent="0.2">
      <c r="A547" s="10"/>
      <c r="B547" s="14"/>
    </row>
    <row r="548" spans="1:2" x14ac:dyDescent="0.2">
      <c r="A548" s="10"/>
      <c r="B548" s="14"/>
    </row>
    <row r="549" spans="1:2" x14ac:dyDescent="0.2">
      <c r="A549" s="10"/>
      <c r="B549" s="14"/>
    </row>
    <row r="550" spans="1:2" x14ac:dyDescent="0.2">
      <c r="A550" s="10"/>
      <c r="B550" s="14"/>
    </row>
    <row r="551" spans="1:2" x14ac:dyDescent="0.2">
      <c r="A551" s="10"/>
      <c r="B551" s="14"/>
    </row>
    <row r="552" spans="1:2" x14ac:dyDescent="0.2">
      <c r="A552" s="10"/>
      <c r="B552" s="14"/>
    </row>
    <row r="553" spans="1:2" x14ac:dyDescent="0.2">
      <c r="A553" s="10"/>
      <c r="B553" s="14"/>
    </row>
    <row r="554" spans="1:2" x14ac:dyDescent="0.2">
      <c r="A554" s="10"/>
      <c r="B554" s="14"/>
    </row>
    <row r="555" spans="1:2" x14ac:dyDescent="0.2">
      <c r="A555" s="10"/>
      <c r="B555" s="14"/>
    </row>
    <row r="556" spans="1:2" x14ac:dyDescent="0.2">
      <c r="A556" s="10"/>
      <c r="B556" s="14"/>
    </row>
    <row r="557" spans="1:2" x14ac:dyDescent="0.2">
      <c r="A557" s="10"/>
      <c r="B557" s="14"/>
    </row>
    <row r="558" spans="1:2" x14ac:dyDescent="0.2">
      <c r="A558" s="10"/>
      <c r="B558" s="14"/>
    </row>
    <row r="559" spans="1:2" x14ac:dyDescent="0.2">
      <c r="A559" s="10"/>
      <c r="B559" s="14"/>
    </row>
    <row r="560" spans="1:2" x14ac:dyDescent="0.2">
      <c r="A560" s="10"/>
      <c r="B560" s="14"/>
    </row>
    <row r="561" spans="1:2" x14ac:dyDescent="0.2">
      <c r="A561" s="10"/>
      <c r="B561" s="14"/>
    </row>
    <row r="562" spans="1:2" x14ac:dyDescent="0.2">
      <c r="A562" s="10"/>
      <c r="B562" s="14"/>
    </row>
    <row r="563" spans="1:2" x14ac:dyDescent="0.2">
      <c r="A563" s="10"/>
      <c r="B563" s="14"/>
    </row>
    <row r="564" spans="1:2" x14ac:dyDescent="0.2">
      <c r="A564" s="10"/>
      <c r="B564" s="14"/>
    </row>
    <row r="565" spans="1:2" x14ac:dyDescent="0.2">
      <c r="A565" s="10"/>
      <c r="B565" s="14"/>
    </row>
    <row r="566" spans="1:2" x14ac:dyDescent="0.2">
      <c r="A566" s="10"/>
      <c r="B566" s="14"/>
    </row>
    <row r="567" spans="1:2" x14ac:dyDescent="0.2">
      <c r="A567" s="10"/>
      <c r="B567" s="14"/>
    </row>
    <row r="568" spans="1:2" x14ac:dyDescent="0.2">
      <c r="A568" s="10"/>
      <c r="B568" s="14"/>
    </row>
    <row r="569" spans="1:2" x14ac:dyDescent="0.2">
      <c r="A569" s="10"/>
      <c r="B569" s="14"/>
    </row>
    <row r="570" spans="1:2" x14ac:dyDescent="0.2">
      <c r="A570" s="10"/>
      <c r="B570" s="14"/>
    </row>
    <row r="571" spans="1:2" x14ac:dyDescent="0.2">
      <c r="A571" s="10"/>
      <c r="B571" s="14"/>
    </row>
    <row r="572" spans="1:2" x14ac:dyDescent="0.2">
      <c r="A572" s="10"/>
      <c r="B572" s="14"/>
    </row>
    <row r="573" spans="1:2" x14ac:dyDescent="0.2">
      <c r="A573" s="10"/>
      <c r="B573" s="14"/>
    </row>
    <row r="574" spans="1:2" x14ac:dyDescent="0.2">
      <c r="A574" s="10"/>
      <c r="B574" s="14"/>
    </row>
    <row r="575" spans="1:2" x14ac:dyDescent="0.2">
      <c r="A575" s="10"/>
      <c r="B575" s="14"/>
    </row>
    <row r="576" spans="1:2" x14ac:dyDescent="0.2">
      <c r="A576" s="10"/>
      <c r="B576" s="14"/>
    </row>
    <row r="577" spans="1:2" x14ac:dyDescent="0.2">
      <c r="A577" s="10"/>
      <c r="B577" s="14"/>
    </row>
    <row r="578" spans="1:2" x14ac:dyDescent="0.2">
      <c r="A578" s="10"/>
      <c r="B578" s="14"/>
    </row>
    <row r="579" spans="1:2" x14ac:dyDescent="0.2">
      <c r="A579" s="10"/>
      <c r="B579" s="14"/>
    </row>
    <row r="580" spans="1:2" x14ac:dyDescent="0.2">
      <c r="A580" s="10"/>
      <c r="B580" s="14"/>
    </row>
    <row r="581" spans="1:2" x14ac:dyDescent="0.2">
      <c r="A581" s="10"/>
      <c r="B581" s="14"/>
    </row>
    <row r="582" spans="1:2" x14ac:dyDescent="0.2">
      <c r="A582" s="10"/>
      <c r="B582" s="14"/>
    </row>
    <row r="583" spans="1:2" x14ac:dyDescent="0.2">
      <c r="A583" s="10"/>
      <c r="B583" s="14"/>
    </row>
    <row r="584" spans="1:2" x14ac:dyDescent="0.2">
      <c r="A584" s="10"/>
      <c r="B584" s="14"/>
    </row>
    <row r="585" spans="1:2" x14ac:dyDescent="0.2">
      <c r="A585" s="10"/>
      <c r="B585" s="14"/>
    </row>
    <row r="586" spans="1:2" x14ac:dyDescent="0.2">
      <c r="A586" s="10"/>
      <c r="B586" s="14"/>
    </row>
    <row r="587" spans="1:2" x14ac:dyDescent="0.2">
      <c r="A587" s="10"/>
      <c r="B587" s="14"/>
    </row>
    <row r="588" spans="1:2" x14ac:dyDescent="0.2">
      <c r="A588" s="10"/>
      <c r="B588" s="14"/>
    </row>
    <row r="589" spans="1:2" x14ac:dyDescent="0.2">
      <c r="A589" s="10"/>
      <c r="B589" s="14"/>
    </row>
    <row r="590" spans="1:2" x14ac:dyDescent="0.2">
      <c r="A590" s="10"/>
      <c r="B590" s="14"/>
    </row>
    <row r="591" spans="1:2" x14ac:dyDescent="0.2">
      <c r="A591" s="10"/>
      <c r="B591" s="14"/>
    </row>
    <row r="592" spans="1:2" x14ac:dyDescent="0.2">
      <c r="A592" s="10"/>
      <c r="B592" s="14"/>
    </row>
    <row r="593" spans="1:2" x14ac:dyDescent="0.2">
      <c r="A593" s="10"/>
      <c r="B593" s="14"/>
    </row>
    <row r="594" spans="1:2" x14ac:dyDescent="0.2">
      <c r="A594" s="10"/>
    </row>
    <row r="595" spans="1:2" x14ac:dyDescent="0.2">
      <c r="A595" s="10"/>
    </row>
    <row r="596" spans="1:2" x14ac:dyDescent="0.2">
      <c r="A596" s="10"/>
    </row>
    <row r="597" spans="1:2" x14ac:dyDescent="0.2">
      <c r="A597" s="10"/>
    </row>
    <row r="598" spans="1:2" x14ac:dyDescent="0.2">
      <c r="A598" s="10"/>
    </row>
    <row r="599" spans="1:2" x14ac:dyDescent="0.2">
      <c r="A599" s="10"/>
    </row>
    <row r="600" spans="1:2" x14ac:dyDescent="0.2">
      <c r="A600" s="10"/>
    </row>
    <row r="601" spans="1:2" x14ac:dyDescent="0.2">
      <c r="A601" s="10"/>
    </row>
  </sheetData>
  <mergeCells count="53">
    <mergeCell ref="M198:N198"/>
    <mergeCell ref="M199:N199"/>
    <mergeCell ref="M200:N200"/>
    <mergeCell ref="M201:N201"/>
    <mergeCell ref="A209:L212"/>
    <mergeCell ref="M197:N197"/>
    <mergeCell ref="P148:Q148"/>
    <mergeCell ref="P149:Q149"/>
    <mergeCell ref="P150:Q150"/>
    <mergeCell ref="P179:Q179"/>
    <mergeCell ref="P180:Q180"/>
    <mergeCell ref="P181:Q181"/>
    <mergeCell ref="P182:Q182"/>
    <mergeCell ref="P183:Q183"/>
    <mergeCell ref="P184:Q184"/>
    <mergeCell ref="P185:Q185"/>
    <mergeCell ref="M196:N196"/>
    <mergeCell ref="P147:Q147"/>
    <mergeCell ref="Q129:R129"/>
    <mergeCell ref="V129:W129"/>
    <mergeCell ref="Q130:R130"/>
    <mergeCell ref="V130:W130"/>
    <mergeCell ref="Q131:R131"/>
    <mergeCell ref="V131:W131"/>
    <mergeCell ref="P142:Q142"/>
    <mergeCell ref="P143:Q143"/>
    <mergeCell ref="P144:Q144"/>
    <mergeCell ref="P145:Q145"/>
    <mergeCell ref="P146:Q146"/>
    <mergeCell ref="Q126:R126"/>
    <mergeCell ref="V126:W126"/>
    <mergeCell ref="Q127:R127"/>
    <mergeCell ref="V127:W127"/>
    <mergeCell ref="Q128:R128"/>
    <mergeCell ref="V128:W128"/>
    <mergeCell ref="Q123:R123"/>
    <mergeCell ref="V123:W123"/>
    <mergeCell ref="Q124:R124"/>
    <mergeCell ref="V124:W124"/>
    <mergeCell ref="Q125:R125"/>
    <mergeCell ref="V125:W125"/>
    <mergeCell ref="Q120:R120"/>
    <mergeCell ref="V120:W120"/>
    <mergeCell ref="Q121:R121"/>
    <mergeCell ref="V121:W121"/>
    <mergeCell ref="Q122:R122"/>
    <mergeCell ref="V122:W122"/>
    <mergeCell ref="Q117:R117"/>
    <mergeCell ref="V117:W117"/>
    <mergeCell ref="Q118:R118"/>
    <mergeCell ref="V118:W118"/>
    <mergeCell ref="Q119:R119"/>
    <mergeCell ref="V119:W119"/>
  </mergeCells>
  <hyperlinks>
    <hyperlink ref="A2" location="'Bid Log'!A9" display="Council Bids" xr:uid="{F0DB974F-F597-467E-B5F1-6C10BDA6117F}"/>
    <hyperlink ref="A3" location="'Bid Log'!A110" display="Non-Council Bids" xr:uid="{15146A05-66D6-4106-BEB1-EE4D56E587E0}"/>
    <hyperlink ref="A4" location="'Bid Log'!A145" display="Requests for Proposals" xr:uid="{09CB9220-5B99-413D-B73A-3216271A8A81}"/>
    <hyperlink ref="A5" location="'Bid Log'!A173" display="Competitive Sealed Proposals" xr:uid="{81B17CE9-DFFC-4187-B352-D9359BF2DCE9}"/>
    <hyperlink ref="A6" location="'Bid Log'!A194" display="Request for Qualifications" xr:uid="{7BD341A7-3DF2-4252-AE67-218CA42EF1CA}"/>
    <hyperlink ref="A7" location="'Bid Log'!A215" display="Request for Information" xr:uid="{7C36027B-350F-4006-BADC-C3E6FDF7F883}"/>
    <hyperlink ref="A188" location="'Bid Log'!A1" display="Return to Top of Document" xr:uid="{6130F0CF-62A6-4833-A15C-4ABE480AD86A}"/>
    <hyperlink ref="A204" location="'Bid Log'!A1" display="Return to Top of Document" xr:uid="{04BFC471-2D05-44B0-B855-46C8F351E5F1}"/>
    <hyperlink ref="A171" location="'Bid Log'!A1" display="Return to Top of Document" xr:uid="{DC0656A2-33F2-4365-8BF5-68A10D2F3DBF}"/>
    <hyperlink ref="A153" location="'Bid Log'!A1" display="Return to Top of Document" xr:uid="{91ECED4A-577D-4DE6-AECF-604A160BA797}"/>
    <hyperlink ref="A134" location="'Bid Log'!A1" display="Return to Top of Document" xr:uid="{6EAC278D-B599-4227-A3FD-61EF4C0A0EF7}"/>
    <hyperlink ref="A109" location="'Bid Log'!A1" display="Return to Top of Document" xr:uid="{B9FD3D56-1CC4-4A0D-B307-1C5FF6BEB00B}"/>
    <hyperlink ref="D18" r:id="rId1" xr:uid="{1E880777-E221-414B-AD0D-958C078ACA15}"/>
    <hyperlink ref="F16" r:id="rId2" xr:uid="{2645ECFA-F48B-47B8-A10E-24C0200E8100}"/>
    <hyperlink ref="F18" r:id="rId3" xr:uid="{B3C2CB7E-FB6B-4946-B0A4-DCC71BD9D491}"/>
    <hyperlink ref="F19" r:id="rId4" xr:uid="{BD5117FB-D382-4115-8714-A5FD3ECDEE2A}"/>
    <hyperlink ref="D16" r:id="rId5" xr:uid="{648E26A4-DE08-4775-AB63-0C6B0D4DC204}"/>
    <hyperlink ref="D17" r:id="rId6" xr:uid="{3A474DFF-4967-4C5E-A8CB-2E900F0A1BBE}"/>
    <hyperlink ref="D20" r:id="rId7" xr:uid="{9E6E316A-F72F-4F01-AF9B-2662B76348E9}"/>
    <hyperlink ref="M147" r:id="rId8" xr:uid="{92300217-3FE9-4619-86CF-579CE63BD03C}"/>
    <hyperlink ref="O24" r:id="rId9" xr:uid="{120F1349-AD3B-4B91-852A-A083CF8990BF}"/>
    <hyperlink ref="L18" r:id="rId10" xr:uid="{10334302-95DD-4201-B565-6470F0E8FE4F}"/>
    <hyperlink ref="L16" r:id="rId11" xr:uid="{3F6BCFF5-4E3E-4AB8-AEC1-FD428DE146C1}"/>
    <hyperlink ref="L17" r:id="rId12" xr:uid="{925CFD53-1091-4B2E-9763-47C1CAE44631}"/>
    <hyperlink ref="L19" r:id="rId13" xr:uid="{A5BC3A23-8EAD-44D5-B976-561BFF6BE071}"/>
    <hyperlink ref="G20" r:id="rId14" xr:uid="{B1941563-57D2-4600-8BDE-E1CEAFD41193}"/>
    <hyperlink ref="F20" r:id="rId15" xr:uid="{740FBD51-1AA5-48C5-A5D7-DF4E74894C29}"/>
    <hyperlink ref="F21" r:id="rId16" xr:uid="{156A0DAC-CD27-4ACF-BB2F-02D937D8FD6B}"/>
    <hyperlink ref="F23" r:id="rId17" xr:uid="{4BD52521-3B7B-48AE-B814-5451E71571E4}"/>
    <hyperlink ref="F121" r:id="rId18" xr:uid="{A440F8CA-AE76-44A8-B709-639FBF9305B7}"/>
    <hyperlink ref="D23" r:id="rId19" xr:uid="{0103279E-BB65-48A5-A498-71F99AB83520}"/>
    <hyperlink ref="L121" r:id="rId20" xr:uid="{30829418-E97F-490E-B4EA-A233ACA8AE34}"/>
    <hyperlink ref="L20" r:id="rId21" xr:uid="{2355021D-1285-4549-A7ED-E3BCB1BADA87}"/>
    <hyperlink ref="O18" r:id="rId22" xr:uid="{C1E3BF00-185E-4B40-8E8C-CD36F9977307}"/>
    <hyperlink ref="O19" r:id="rId23" xr:uid="{66608666-6CEA-440A-8213-C1E42491FDE4}"/>
    <hyperlink ref="O25" r:id="rId24" xr:uid="{61AEBEC2-9A0C-4585-BCBF-DDDFEEEFE827}"/>
    <hyperlink ref="O26" r:id="rId25" xr:uid="{E00D89DA-AB2E-4AE8-835E-C0A09F58F245}"/>
    <hyperlink ref="O27" r:id="rId26" xr:uid="{C3B164E8-BEB2-4958-AB0E-2E4AFE16FAC4}"/>
    <hyperlink ref="O28" r:id="rId27" xr:uid="{C38C7CEE-23E9-486F-A061-D3A88E8F26A0}"/>
    <hyperlink ref="O29" r:id="rId28" xr:uid="{D756D652-94B2-4166-8DEA-A63656C82DF7}"/>
    <hyperlink ref="O30" r:id="rId29" xr:uid="{CCBFFB0F-863B-4328-BBA5-9E795E05AE5E}"/>
    <hyperlink ref="O31" r:id="rId30" xr:uid="{B44A294F-FA01-4622-AE1C-774F00EB2177}"/>
    <hyperlink ref="O32" r:id="rId31" xr:uid="{3EC55D99-94BC-4B03-8034-3F467DE5F27E}"/>
    <hyperlink ref="O33" r:id="rId32" xr:uid="{760B3EDA-9123-4F66-B5B0-0252DC0BF039}"/>
    <hyperlink ref="O34" r:id="rId33" xr:uid="{47256DE4-6421-4CDD-AD4D-830A5EEB9F4E}"/>
    <hyperlink ref="G146" r:id="rId34" xr:uid="{9AEC72CE-89C4-4BB1-8BA1-D7CCAA59E911}"/>
    <hyperlink ref="F146" r:id="rId35" xr:uid="{CBF71869-F045-4B34-B6D7-5E9FAD239DB3}"/>
    <hyperlink ref="D38" r:id="rId36" xr:uid="{FA218311-740E-47E7-BD95-50B728E8B7F9}"/>
    <hyperlink ref="D165" r:id="rId37" xr:uid="{8C6E6665-C995-414C-82BE-9B4A504AB83A}"/>
    <hyperlink ref="L21" r:id="rId38" xr:uid="{A6FEDA97-3B86-46F7-94B6-A966D158CBFC}"/>
    <hyperlink ref="G23" r:id="rId39" xr:uid="{7768EDDC-DAD2-4D43-A069-AA47AE696944}"/>
    <hyperlink ref="F38" r:id="rId40" xr:uid="{103BAC5E-9CD8-4419-A890-D053E4D14352}"/>
    <hyperlink ref="F165" r:id="rId41" xr:uid="{8408B088-DACE-45BC-A7CF-783C08883B85}"/>
    <hyperlink ref="O17" r:id="rId42" xr:uid="{94FE1612-01E8-4C8E-AE23-9EBDC8CE208F}"/>
    <hyperlink ref="O20" r:id="rId43" xr:uid="{61CC8BFC-1BCB-436A-BF63-9B09DCAAC2BF}"/>
    <hyperlink ref="O21" r:id="rId44" xr:uid="{EBF05348-7D9C-4DF7-824F-F35BBDD1CB71}"/>
    <hyperlink ref="O35" r:id="rId45" xr:uid="{8F8E18E0-C5D1-44EB-A6E7-2CA28729835C}"/>
    <hyperlink ref="O36" r:id="rId46" xr:uid="{0410D7AB-23AA-4745-B79E-EE26A2A7CB15}"/>
    <hyperlink ref="O37" r:id="rId47" xr:uid="{8FE00046-E409-4D76-AAF1-4A38DEEC8CE4}"/>
    <hyperlink ref="O39" r:id="rId48" xr:uid="{73B8AB17-BDAA-4A1D-A6AF-43B8F8A38937}"/>
    <hyperlink ref="O40" r:id="rId49" xr:uid="{3AC79648-F8BE-4BAF-8F42-C4D3D98E3654}"/>
    <hyperlink ref="F22" r:id="rId50" xr:uid="{4843C0FD-FDF1-4492-A496-DB2D95A3FBB3}"/>
    <hyperlink ref="L23" r:id="rId51" xr:uid="{13146378-A43E-49D0-88D8-FBC4E3129F0C}"/>
    <hyperlink ref="L38" r:id="rId52" xr:uid="{CE950804-6C1D-4FE7-A399-35E4280540CA}"/>
    <hyperlink ref="L165" r:id="rId53" xr:uid="{BC1E7898-8960-4287-85BA-666C3161092E}"/>
    <hyperlink ref="G17" r:id="rId54" xr:uid="{5A1AB276-2BD9-4C0B-AAA9-3A49BA5B8671}"/>
    <hyperlink ref="G22" r:id="rId55" xr:uid="{FAD0897D-AF88-40DC-944E-F904223BDF87}"/>
    <hyperlink ref="G38" r:id="rId56" xr:uid="{5FDA7E77-6239-4A0F-B44B-5C2FA4D981C9}"/>
    <hyperlink ref="F17" r:id="rId57" xr:uid="{40E9166A-F62E-4DCC-9B07-0E1A9ECF5878}"/>
    <hyperlink ref="G165" r:id="rId58" xr:uid="{090F4118-6922-4A71-AAC0-F271F608B648}"/>
    <hyperlink ref="L22" r:id="rId59" xr:uid="{4BD55AFC-1D9F-47FB-A6FD-9581860530DF}"/>
    <hyperlink ref="O16" r:id="rId60" xr:uid="{7ADB1E54-4BE0-4591-BB8B-CE5E418E42C0}"/>
    <hyperlink ref="O42" r:id="rId61" xr:uid="{34054C4E-A459-419E-A2DC-F56E09FB34DF}"/>
    <hyperlink ref="O43" r:id="rId62" xr:uid="{DE9C7657-27E0-4CF7-A645-F9BFD3BC61B8}"/>
    <hyperlink ref="O45" r:id="rId63" xr:uid="{6D1DF5C8-6314-4B7C-95BC-DAEAD6F127EF}"/>
    <hyperlink ref="O47" r:id="rId64" xr:uid="{1E3944D2-B443-41DF-B4E4-0B877B9FB4BB}"/>
    <hyperlink ref="O49" r:id="rId65" xr:uid="{4FCAA9DE-03A9-4895-83EC-02B7EB8188AA}"/>
    <hyperlink ref="O50" r:id="rId66" xr:uid="{44C959B9-1702-4FCC-A8D1-C4C8237F0C6B}"/>
    <hyperlink ref="O165" r:id="rId67" xr:uid="{048DF16A-929C-4614-A826-D5330F159F4D}"/>
    <hyperlink ref="O22" r:id="rId68" xr:uid="{83D61C33-4E90-49CE-8D02-6A55C66D53AF}"/>
    <hyperlink ref="O23" r:id="rId69" xr:uid="{60329DB4-4131-421C-9FBA-A02093E313F1}"/>
    <hyperlink ref="O38" r:id="rId70" xr:uid="{86D0E8EC-D390-4434-8E9F-7D74F24FB034}"/>
    <hyperlink ref="F41" r:id="rId71" xr:uid="{02EBDD97-ABA5-40AC-A7E8-80AD669EDD70}"/>
    <hyperlink ref="O46" r:id="rId72" xr:uid="{0E87C00D-BF77-40CA-8F5D-AB0A3CF37476}"/>
    <hyperlink ref="O51" r:id="rId73" xr:uid="{EB1074F5-8364-477C-B232-21EEB0198AFF}"/>
    <hyperlink ref="D48" r:id="rId74" xr:uid="{2AA21C10-6FF3-4D70-9FC3-F4E36CCBB444}"/>
    <hyperlink ref="F48" r:id="rId75" xr:uid="{993BB848-43CC-49D7-9D7F-197A3304B59A}"/>
    <hyperlink ref="O52" r:id="rId76" xr:uid="{FF9EBDFF-6515-4EE7-9EE8-50FC042FF216}"/>
    <hyperlink ref="O54" r:id="rId77" xr:uid="{CA16FF68-123E-4CD2-A2F6-9CB2D198BD27}"/>
    <hyperlink ref="O55" r:id="rId78" xr:uid="{5EDF1531-3FB1-44B9-B2F9-D544FDE10435}"/>
    <hyperlink ref="F56" r:id="rId79" xr:uid="{9D9DD413-502F-4FA4-8E80-B536E675B60B}"/>
    <hyperlink ref="F148" r:id="rId80" xr:uid="{B7E7220A-2667-4037-8F36-5B7FE58BA2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80"/>
  <sheetViews>
    <sheetView topLeftCell="A152" zoomScale="115" zoomScaleNormal="115" workbookViewId="0">
      <pane xSplit="2" topLeftCell="C1" activePane="topRight" state="frozen"/>
      <selection pane="topRight" activeCell="C42" sqref="C42"/>
    </sheetView>
  </sheetViews>
  <sheetFormatPr defaultColWidth="9.42578125" defaultRowHeight="11.25" x14ac:dyDescent="0.2"/>
  <cols>
    <col min="1" max="1" width="6.5703125" style="1" customWidth="1"/>
    <col min="2" max="2" width="47.42578125" style="1" customWidth="1"/>
    <col min="3" max="3" width="8.5703125" style="1" customWidth="1"/>
    <col min="4" max="4" width="9" style="10" bestFit="1" customWidth="1"/>
    <col min="5" max="5" width="17.5703125" style="1" bestFit="1" customWidth="1"/>
    <col min="6" max="9" width="9.42578125" style="1" customWidth="1"/>
    <col min="10" max="11" width="9.5703125" style="1" customWidth="1"/>
    <col min="12" max="12" width="10.5703125" style="14" customWidth="1"/>
    <col min="13" max="13" width="11.42578125" style="14" bestFit="1" customWidth="1"/>
    <col min="14" max="14" width="9.5703125" style="14" bestFit="1" customWidth="1"/>
    <col min="15" max="15" width="9.5703125" style="1" customWidth="1"/>
    <col min="16" max="16" width="11.42578125" style="1" bestFit="1" customWidth="1"/>
    <col min="17" max="17" width="7.42578125" style="1" bestFit="1" customWidth="1"/>
    <col min="18" max="18" width="24.5703125" style="1" bestFit="1" customWidth="1"/>
    <col min="19" max="20" width="16.42578125" style="1" bestFit="1" customWidth="1"/>
    <col min="21" max="21" width="16.42578125" style="1" customWidth="1"/>
    <col min="22" max="22" width="9.42578125" style="14" bestFit="1" customWidth="1"/>
    <col min="23" max="23" width="10.42578125" style="14" bestFit="1" customWidth="1"/>
    <col min="24" max="24" width="29" style="14" customWidth="1"/>
    <col min="25" max="16384" width="9.42578125" style="1"/>
  </cols>
  <sheetData>
    <row r="1" spans="1:24" x14ac:dyDescent="0.2">
      <c r="A1" s="1" t="s">
        <v>63</v>
      </c>
      <c r="B1" s="82"/>
      <c r="C1" s="84" t="s">
        <v>2467</v>
      </c>
      <c r="D1" s="47"/>
      <c r="E1" s="82"/>
    </row>
    <row r="2" spans="1:24" ht="15" customHeight="1" x14ac:dyDescent="0.2">
      <c r="A2" s="37" t="s">
        <v>56</v>
      </c>
    </row>
    <row r="3" spans="1:24" ht="15" customHeight="1" x14ac:dyDescent="0.2">
      <c r="A3" s="37" t="s">
        <v>55</v>
      </c>
    </row>
    <row r="4" spans="1:24" ht="15" customHeight="1" x14ac:dyDescent="0.2">
      <c r="A4" s="37" t="s">
        <v>57</v>
      </c>
    </row>
    <row r="5" spans="1:24" ht="15" customHeight="1" x14ac:dyDescent="0.2">
      <c r="A5" s="37" t="s">
        <v>58</v>
      </c>
      <c r="H5" s="82"/>
    </row>
    <row r="6" spans="1:24" ht="15" customHeight="1" x14ac:dyDescent="0.2">
      <c r="A6" s="37" t="s">
        <v>60</v>
      </c>
    </row>
    <row r="7" spans="1:24" ht="15" customHeight="1" x14ac:dyDescent="0.2">
      <c r="A7" s="37" t="s">
        <v>61</v>
      </c>
    </row>
    <row r="8" spans="1:24" ht="15" customHeight="1" x14ac:dyDescent="0.2"/>
    <row r="9" spans="1:24" ht="15.75" x14ac:dyDescent="0.25">
      <c r="A9" s="88" t="s">
        <v>33</v>
      </c>
      <c r="B9" s="88"/>
      <c r="R9" s="6"/>
      <c r="S9" s="6"/>
      <c r="T9" s="6"/>
      <c r="U9" s="6"/>
    </row>
    <row r="10" spans="1:24" ht="15.75" x14ac:dyDescent="0.25">
      <c r="A10" s="88" t="s">
        <v>76</v>
      </c>
      <c r="B10" s="88"/>
      <c r="R10" s="6"/>
      <c r="S10" s="6"/>
      <c r="T10" s="6"/>
      <c r="U10" s="6"/>
      <c r="X10" s="23"/>
    </row>
    <row r="11" spans="1:24" ht="12" thickBot="1" x14ac:dyDescent="0.25">
      <c r="X11" s="23"/>
    </row>
    <row r="12" spans="1:24" ht="11.85" customHeight="1" x14ac:dyDescent="0.2">
      <c r="A12" s="17"/>
      <c r="B12" s="17"/>
      <c r="C12" s="17"/>
      <c r="D12" s="41"/>
      <c r="E12" s="17"/>
      <c r="F12" s="17"/>
      <c r="G12" s="17"/>
      <c r="H12" s="17"/>
      <c r="I12" s="17"/>
      <c r="J12" s="17"/>
      <c r="K12" s="18" t="s">
        <v>10</v>
      </c>
      <c r="L12" s="18"/>
      <c r="M12" s="18" t="s">
        <v>53</v>
      </c>
      <c r="N12" s="18" t="s">
        <v>47</v>
      </c>
      <c r="O12" s="18" t="s">
        <v>37</v>
      </c>
      <c r="P12" s="17"/>
      <c r="Q12" s="17"/>
      <c r="R12" s="18"/>
      <c r="S12" s="18"/>
      <c r="T12" s="18"/>
      <c r="U12" s="18"/>
      <c r="V12" s="18" t="s">
        <v>19</v>
      </c>
      <c r="W12" s="18"/>
      <c r="X12" s="18"/>
    </row>
    <row r="13" spans="1:24" ht="11.85" customHeight="1" x14ac:dyDescent="0.2">
      <c r="A13" s="19" t="s">
        <v>0</v>
      </c>
      <c r="B13" s="19" t="s">
        <v>1</v>
      </c>
      <c r="C13" s="19" t="s">
        <v>0</v>
      </c>
      <c r="D13" s="42" t="s">
        <v>39</v>
      </c>
      <c r="E13" s="19" t="s">
        <v>2</v>
      </c>
      <c r="F13" s="19" t="s">
        <v>0</v>
      </c>
      <c r="G13" s="19" t="s">
        <v>41</v>
      </c>
      <c r="H13" s="19" t="s">
        <v>41</v>
      </c>
      <c r="I13" s="19" t="s">
        <v>41</v>
      </c>
      <c r="J13" s="19" t="s">
        <v>41</v>
      </c>
      <c r="K13" s="19" t="s">
        <v>3</v>
      </c>
      <c r="L13" s="19" t="s">
        <v>51</v>
      </c>
      <c r="M13" s="19" t="s">
        <v>54</v>
      </c>
      <c r="N13" s="19" t="s">
        <v>50</v>
      </c>
      <c r="O13" s="19" t="s">
        <v>38</v>
      </c>
      <c r="P13" s="19" t="s">
        <v>4</v>
      </c>
      <c r="Q13" s="19" t="s">
        <v>4</v>
      </c>
      <c r="R13" s="19" t="s">
        <v>14</v>
      </c>
      <c r="S13" s="19" t="s">
        <v>15</v>
      </c>
      <c r="T13" s="19" t="s">
        <v>16</v>
      </c>
      <c r="U13" s="19" t="s">
        <v>70</v>
      </c>
      <c r="V13" s="19" t="s">
        <v>20</v>
      </c>
      <c r="W13" s="19" t="s">
        <v>26</v>
      </c>
      <c r="X13" s="19" t="s">
        <v>65</v>
      </c>
    </row>
    <row r="14" spans="1:24" ht="11.85" customHeight="1" x14ac:dyDescent="0.2">
      <c r="A14" s="19" t="s">
        <v>5</v>
      </c>
      <c r="B14" s="19"/>
      <c r="C14" s="19" t="s">
        <v>39</v>
      </c>
      <c r="D14" s="42" t="s">
        <v>40</v>
      </c>
      <c r="E14" s="19" t="s">
        <v>7</v>
      </c>
      <c r="F14" s="19" t="s">
        <v>64</v>
      </c>
      <c r="G14" s="19" t="s">
        <v>42</v>
      </c>
      <c r="H14" s="19" t="s">
        <v>43</v>
      </c>
      <c r="I14" s="19" t="s">
        <v>44</v>
      </c>
      <c r="J14" s="19" t="s">
        <v>45</v>
      </c>
      <c r="K14" s="19" t="s">
        <v>6</v>
      </c>
      <c r="L14" s="19" t="s">
        <v>36</v>
      </c>
      <c r="M14" s="19" t="s">
        <v>13</v>
      </c>
      <c r="N14" s="19" t="s">
        <v>13</v>
      </c>
      <c r="O14" s="19" t="s">
        <v>4</v>
      </c>
      <c r="P14" s="19" t="s">
        <v>9</v>
      </c>
      <c r="Q14" s="19" t="s">
        <v>6</v>
      </c>
      <c r="R14" s="19"/>
      <c r="S14" s="19"/>
      <c r="T14" s="19"/>
      <c r="U14" s="19"/>
      <c r="V14" s="19" t="s">
        <v>28</v>
      </c>
      <c r="W14" s="19" t="s">
        <v>27</v>
      </c>
      <c r="X14" s="19"/>
    </row>
    <row r="15" spans="1:24" ht="2.25" customHeight="1" thickBot="1" x14ac:dyDescent="0.25">
      <c r="A15" s="21"/>
      <c r="B15" s="20"/>
      <c r="C15" s="22"/>
      <c r="D15" s="43"/>
      <c r="E15" s="20"/>
      <c r="F15" s="22"/>
      <c r="G15" s="22"/>
      <c r="H15" s="22"/>
      <c r="I15" s="22"/>
      <c r="J15" s="22"/>
      <c r="K15" s="20"/>
      <c r="L15" s="20"/>
      <c r="M15" s="20"/>
      <c r="N15" s="20"/>
      <c r="O15" s="20"/>
      <c r="P15" s="20"/>
      <c r="Q15" s="20"/>
      <c r="R15" s="20"/>
      <c r="S15" s="20"/>
      <c r="T15" s="20"/>
      <c r="U15" s="20"/>
      <c r="V15" s="20"/>
      <c r="W15" s="20"/>
      <c r="X15" s="20"/>
    </row>
    <row r="16" spans="1:24" x14ac:dyDescent="0.2">
      <c r="A16" s="2" t="s">
        <v>74</v>
      </c>
      <c r="B16" s="81" t="s">
        <v>75</v>
      </c>
      <c r="C16" s="4">
        <v>44097</v>
      </c>
      <c r="D16" s="49" t="s">
        <v>121</v>
      </c>
      <c r="E16" s="3" t="s">
        <v>84</v>
      </c>
      <c r="F16" s="49" t="s">
        <v>122</v>
      </c>
      <c r="G16" s="49" t="s">
        <v>197</v>
      </c>
      <c r="H16" s="49"/>
      <c r="I16" s="4"/>
      <c r="J16" s="4"/>
      <c r="K16" s="4">
        <v>44127</v>
      </c>
      <c r="L16" s="49" t="s">
        <v>134</v>
      </c>
      <c r="M16" s="80">
        <f>861196+932370+1075979.16+994010+1058970+974072.5+1058100+1076700+1101730+1122387+1320300+1555000</f>
        <v>13130814.66</v>
      </c>
      <c r="N16" s="32">
        <v>12</v>
      </c>
      <c r="O16" s="49" t="s">
        <v>154</v>
      </c>
      <c r="P16" s="89">
        <v>973170</v>
      </c>
      <c r="Q16" s="4">
        <v>44144</v>
      </c>
      <c r="R16" s="90" t="s">
        <v>151</v>
      </c>
      <c r="S16" s="90"/>
      <c r="T16" s="90"/>
      <c r="U16" s="90"/>
      <c r="V16" s="33" t="s">
        <v>72</v>
      </c>
      <c r="W16" s="33" t="s">
        <v>24</v>
      </c>
      <c r="X16" s="53"/>
    </row>
    <row r="17" spans="1:24" ht="33.75" x14ac:dyDescent="0.2">
      <c r="A17" s="2" t="s">
        <v>85</v>
      </c>
      <c r="B17" s="81" t="s">
        <v>107</v>
      </c>
      <c r="C17" s="4" t="s">
        <v>86</v>
      </c>
      <c r="D17" s="44" t="s">
        <v>86</v>
      </c>
      <c r="E17" s="3" t="s">
        <v>86</v>
      </c>
      <c r="F17" s="5" t="s">
        <v>86</v>
      </c>
      <c r="G17" s="47"/>
      <c r="H17" s="47"/>
      <c r="I17" s="4"/>
      <c r="J17" s="4"/>
      <c r="K17" s="4" t="s">
        <v>86</v>
      </c>
      <c r="L17" s="5" t="s">
        <v>86</v>
      </c>
      <c r="M17" s="31">
        <v>380722.8</v>
      </c>
      <c r="N17" s="32">
        <v>1</v>
      </c>
      <c r="O17" s="49" t="s">
        <v>123</v>
      </c>
      <c r="P17" s="31">
        <v>380722.8</v>
      </c>
      <c r="Q17" s="5">
        <v>44123</v>
      </c>
      <c r="R17" s="90" t="s">
        <v>113</v>
      </c>
      <c r="S17" s="91"/>
      <c r="T17" s="91"/>
      <c r="U17" s="91"/>
      <c r="V17" s="33" t="s">
        <v>87</v>
      </c>
      <c r="W17" s="33" t="s">
        <v>22</v>
      </c>
      <c r="X17" s="53" t="s">
        <v>88</v>
      </c>
    </row>
    <row r="18" spans="1:24" ht="22.5" x14ac:dyDescent="0.2">
      <c r="A18" s="2" t="s">
        <v>89</v>
      </c>
      <c r="B18" s="81" t="s">
        <v>106</v>
      </c>
      <c r="C18" s="5" t="s">
        <v>86</v>
      </c>
      <c r="D18" s="44" t="s">
        <v>86</v>
      </c>
      <c r="E18" s="3" t="s">
        <v>86</v>
      </c>
      <c r="F18" s="5" t="s">
        <v>86</v>
      </c>
      <c r="G18" s="5"/>
      <c r="H18" s="5"/>
      <c r="I18" s="5"/>
      <c r="J18" s="5"/>
      <c r="K18" s="4" t="s">
        <v>86</v>
      </c>
      <c r="L18" s="5" t="s">
        <v>86</v>
      </c>
      <c r="M18" s="31">
        <v>75396</v>
      </c>
      <c r="N18" s="32">
        <v>1</v>
      </c>
      <c r="O18" s="49" t="s">
        <v>124</v>
      </c>
      <c r="P18" s="31">
        <v>75396</v>
      </c>
      <c r="Q18" s="4">
        <v>44123</v>
      </c>
      <c r="R18" s="90" t="s">
        <v>114</v>
      </c>
      <c r="S18" s="90"/>
      <c r="T18" s="90"/>
      <c r="U18" s="90"/>
      <c r="V18" s="33" t="s">
        <v>87</v>
      </c>
      <c r="W18" s="33" t="s">
        <v>22</v>
      </c>
      <c r="X18" s="53" t="s">
        <v>90</v>
      </c>
    </row>
    <row r="19" spans="1:24" ht="22.5" x14ac:dyDescent="0.2">
      <c r="A19" s="2" t="s">
        <v>91</v>
      </c>
      <c r="B19" s="81" t="s">
        <v>103</v>
      </c>
      <c r="C19" s="5" t="s">
        <v>86</v>
      </c>
      <c r="D19" s="44" t="s">
        <v>86</v>
      </c>
      <c r="E19" s="3" t="s">
        <v>86</v>
      </c>
      <c r="F19" s="5" t="s">
        <v>86</v>
      </c>
      <c r="G19" s="5"/>
      <c r="H19" s="5"/>
      <c r="I19" s="5"/>
      <c r="J19" s="5"/>
      <c r="K19" s="4" t="s">
        <v>86</v>
      </c>
      <c r="L19" s="5" t="s">
        <v>86</v>
      </c>
      <c r="M19" s="31">
        <v>141652</v>
      </c>
      <c r="N19" s="32">
        <v>1</v>
      </c>
      <c r="O19" s="49" t="s">
        <v>125</v>
      </c>
      <c r="P19" s="31">
        <v>141652</v>
      </c>
      <c r="Q19" s="4">
        <v>44123</v>
      </c>
      <c r="R19" s="90" t="s">
        <v>115</v>
      </c>
      <c r="S19" s="90"/>
      <c r="T19" s="90"/>
      <c r="U19" s="90"/>
      <c r="V19" s="33" t="s">
        <v>87</v>
      </c>
      <c r="W19" s="33" t="s">
        <v>22</v>
      </c>
      <c r="X19" s="53" t="s">
        <v>88</v>
      </c>
    </row>
    <row r="20" spans="1:24" ht="33.75" x14ac:dyDescent="0.2">
      <c r="A20" s="2" t="s">
        <v>92</v>
      </c>
      <c r="B20" s="81" t="s">
        <v>104</v>
      </c>
      <c r="C20" s="5" t="s">
        <v>86</v>
      </c>
      <c r="D20" s="44" t="s">
        <v>86</v>
      </c>
      <c r="E20" s="3" t="s">
        <v>86</v>
      </c>
      <c r="F20" s="5" t="s">
        <v>86</v>
      </c>
      <c r="G20" s="5"/>
      <c r="H20" s="5"/>
      <c r="I20" s="5"/>
      <c r="J20" s="5"/>
      <c r="K20" s="4" t="s">
        <v>86</v>
      </c>
      <c r="L20" s="5" t="s">
        <v>86</v>
      </c>
      <c r="M20" s="31">
        <v>160805.79</v>
      </c>
      <c r="N20" s="32">
        <v>1</v>
      </c>
      <c r="O20" s="49" t="s">
        <v>126</v>
      </c>
      <c r="P20" s="31">
        <v>160805.79</v>
      </c>
      <c r="Q20" s="4">
        <v>44123</v>
      </c>
      <c r="R20" s="90" t="s">
        <v>116</v>
      </c>
      <c r="S20" s="90"/>
      <c r="T20" s="90"/>
      <c r="U20" s="90"/>
      <c r="V20" s="33" t="s">
        <v>87</v>
      </c>
      <c r="W20" s="33" t="s">
        <v>22</v>
      </c>
      <c r="X20" s="53" t="s">
        <v>93</v>
      </c>
    </row>
    <row r="21" spans="1:24" ht="22.5" x14ac:dyDescent="0.2">
      <c r="A21" s="2" t="s">
        <v>94</v>
      </c>
      <c r="B21" s="81" t="s">
        <v>109</v>
      </c>
      <c r="C21" s="5" t="s">
        <v>86</v>
      </c>
      <c r="D21" s="44" t="s">
        <v>86</v>
      </c>
      <c r="E21" s="3" t="s">
        <v>86</v>
      </c>
      <c r="F21" s="5" t="s">
        <v>86</v>
      </c>
      <c r="G21" s="5"/>
      <c r="H21" s="5"/>
      <c r="I21" s="5"/>
      <c r="J21" s="5"/>
      <c r="K21" s="4" t="s">
        <v>86</v>
      </c>
      <c r="L21" s="5" t="s">
        <v>86</v>
      </c>
      <c r="M21" s="31">
        <v>100000</v>
      </c>
      <c r="N21" s="32">
        <v>1</v>
      </c>
      <c r="O21" s="49" t="s">
        <v>127</v>
      </c>
      <c r="P21" s="31">
        <v>100000</v>
      </c>
      <c r="Q21" s="4">
        <v>44123</v>
      </c>
      <c r="R21" s="90" t="s">
        <v>117</v>
      </c>
      <c r="S21" s="90"/>
      <c r="T21" s="90"/>
      <c r="U21" s="90"/>
      <c r="V21" s="33" t="s">
        <v>87</v>
      </c>
      <c r="W21" s="33" t="s">
        <v>23</v>
      </c>
      <c r="X21" s="53" t="s">
        <v>95</v>
      </c>
    </row>
    <row r="22" spans="1:24" ht="33.75" x14ac:dyDescent="0.2">
      <c r="A22" s="2" t="s">
        <v>96</v>
      </c>
      <c r="B22" s="81" t="s">
        <v>105</v>
      </c>
      <c r="C22" s="5" t="s">
        <v>86</v>
      </c>
      <c r="D22" s="44" t="s">
        <v>86</v>
      </c>
      <c r="E22" s="3" t="s">
        <v>86</v>
      </c>
      <c r="F22" s="5" t="s">
        <v>86</v>
      </c>
      <c r="G22" s="5"/>
      <c r="H22" s="5"/>
      <c r="I22" s="5"/>
      <c r="J22" s="5"/>
      <c r="K22" s="4" t="s">
        <v>86</v>
      </c>
      <c r="L22" s="5" t="s">
        <v>86</v>
      </c>
      <c r="M22" s="31">
        <v>167261</v>
      </c>
      <c r="N22" s="32">
        <v>1</v>
      </c>
      <c r="O22" s="49" t="s">
        <v>128</v>
      </c>
      <c r="P22" s="31">
        <v>167261</v>
      </c>
      <c r="Q22" s="4">
        <v>44123</v>
      </c>
      <c r="R22" s="90" t="s">
        <v>118</v>
      </c>
      <c r="S22" s="90"/>
      <c r="T22" s="90"/>
      <c r="U22" s="90"/>
      <c r="V22" s="33" t="s">
        <v>87</v>
      </c>
      <c r="W22" s="33" t="s">
        <v>22</v>
      </c>
      <c r="X22" s="53" t="s">
        <v>98</v>
      </c>
    </row>
    <row r="23" spans="1:24" ht="33.75" x14ac:dyDescent="0.2">
      <c r="A23" s="2" t="s">
        <v>97</v>
      </c>
      <c r="B23" s="81" t="s">
        <v>108</v>
      </c>
      <c r="C23" s="5" t="s">
        <v>86</v>
      </c>
      <c r="D23" s="44" t="s">
        <v>86</v>
      </c>
      <c r="E23" s="5" t="s">
        <v>86</v>
      </c>
      <c r="F23" s="5" t="s">
        <v>86</v>
      </c>
      <c r="G23" s="49"/>
      <c r="H23" s="49"/>
      <c r="I23" s="49"/>
      <c r="J23" s="5"/>
      <c r="K23" s="5" t="s">
        <v>86</v>
      </c>
      <c r="L23" s="5" t="s">
        <v>86</v>
      </c>
      <c r="M23" s="31">
        <v>186020</v>
      </c>
      <c r="N23" s="32">
        <v>1</v>
      </c>
      <c r="O23" s="49" t="s">
        <v>129</v>
      </c>
      <c r="P23" s="31">
        <v>186020</v>
      </c>
      <c r="Q23" s="4">
        <v>44123</v>
      </c>
      <c r="R23" s="90" t="s">
        <v>119</v>
      </c>
      <c r="S23" s="90"/>
      <c r="T23" s="90"/>
      <c r="U23" s="90"/>
      <c r="V23" s="33" t="s">
        <v>87</v>
      </c>
      <c r="W23" s="33" t="s">
        <v>22</v>
      </c>
      <c r="X23" s="53" t="s">
        <v>99</v>
      </c>
    </row>
    <row r="24" spans="1:24" ht="22.5" x14ac:dyDescent="0.2">
      <c r="A24" s="2" t="s">
        <v>100</v>
      </c>
      <c r="B24" s="81" t="s">
        <v>101</v>
      </c>
      <c r="C24" s="5" t="s">
        <v>86</v>
      </c>
      <c r="D24" s="44" t="s">
        <v>86</v>
      </c>
      <c r="E24" s="5" t="s">
        <v>86</v>
      </c>
      <c r="F24" s="5" t="s">
        <v>86</v>
      </c>
      <c r="G24" s="5"/>
      <c r="H24" s="5"/>
      <c r="I24" s="5"/>
      <c r="J24" s="5"/>
      <c r="K24" s="5" t="s">
        <v>86</v>
      </c>
      <c r="L24" s="5" t="s">
        <v>86</v>
      </c>
      <c r="M24" s="31">
        <v>54277.5</v>
      </c>
      <c r="N24" s="32">
        <v>1</v>
      </c>
      <c r="O24" s="49" t="s">
        <v>130</v>
      </c>
      <c r="P24" s="31">
        <v>54277.5</v>
      </c>
      <c r="Q24" s="4">
        <v>44123</v>
      </c>
      <c r="R24" s="90" t="s">
        <v>120</v>
      </c>
      <c r="S24" s="90"/>
      <c r="T24" s="90"/>
      <c r="U24" s="90"/>
      <c r="V24" s="33" t="s">
        <v>87</v>
      </c>
      <c r="W24" s="33" t="s">
        <v>22</v>
      </c>
      <c r="X24" s="53" t="s">
        <v>102</v>
      </c>
    </row>
    <row r="25" spans="1:24" ht="22.5" x14ac:dyDescent="0.2">
      <c r="A25" s="2" t="s">
        <v>110</v>
      </c>
      <c r="B25" s="81" t="s">
        <v>111</v>
      </c>
      <c r="C25" s="4" t="s">
        <v>86</v>
      </c>
      <c r="D25" s="44" t="s">
        <v>86</v>
      </c>
      <c r="E25" s="3" t="s">
        <v>86</v>
      </c>
      <c r="F25" s="5" t="s">
        <v>86</v>
      </c>
      <c r="G25" s="4"/>
      <c r="H25" s="4"/>
      <c r="I25" s="4"/>
      <c r="J25" s="4"/>
      <c r="K25" s="125" t="s">
        <v>86</v>
      </c>
      <c r="L25" s="126" t="s">
        <v>86</v>
      </c>
      <c r="M25" s="31">
        <v>74502.06</v>
      </c>
      <c r="N25" s="32">
        <v>1</v>
      </c>
      <c r="O25" s="49" t="s">
        <v>168</v>
      </c>
      <c r="P25" s="127">
        <v>74502.06</v>
      </c>
      <c r="Q25" s="125">
        <v>44137</v>
      </c>
      <c r="R25" s="90" t="s">
        <v>162</v>
      </c>
      <c r="S25" s="90"/>
      <c r="T25" s="90"/>
      <c r="U25" s="90"/>
      <c r="V25" s="33" t="s">
        <v>87</v>
      </c>
      <c r="W25" s="33" t="s">
        <v>22</v>
      </c>
      <c r="X25" s="78" t="s">
        <v>112</v>
      </c>
    </row>
    <row r="26" spans="1:24" x14ac:dyDescent="0.2">
      <c r="A26" s="2" t="s">
        <v>135</v>
      </c>
      <c r="B26" s="81" t="s">
        <v>136</v>
      </c>
      <c r="C26" s="4" t="s">
        <v>86</v>
      </c>
      <c r="D26" s="44" t="s">
        <v>86</v>
      </c>
      <c r="E26" s="3" t="s">
        <v>152</v>
      </c>
      <c r="F26" s="49" t="s">
        <v>157</v>
      </c>
      <c r="G26" s="47"/>
      <c r="H26" s="4"/>
      <c r="I26" s="4"/>
      <c r="J26" s="4"/>
      <c r="K26" s="125">
        <v>44166</v>
      </c>
      <c r="L26" s="49" t="s">
        <v>187</v>
      </c>
      <c r="M26" s="31">
        <v>79050</v>
      </c>
      <c r="N26" s="32">
        <v>1</v>
      </c>
      <c r="O26" s="49" t="s">
        <v>201</v>
      </c>
      <c r="P26" s="127">
        <v>79050</v>
      </c>
      <c r="Q26" s="125">
        <v>44179</v>
      </c>
      <c r="R26" s="90" t="s">
        <v>193</v>
      </c>
      <c r="S26" s="90"/>
      <c r="T26" s="90"/>
      <c r="U26" s="90"/>
      <c r="V26" s="33" t="s">
        <v>72</v>
      </c>
      <c r="W26" s="33" t="s">
        <v>22</v>
      </c>
      <c r="X26" s="53"/>
    </row>
    <row r="27" spans="1:24" ht="22.5" x14ac:dyDescent="0.2">
      <c r="A27" s="2" t="s">
        <v>137</v>
      </c>
      <c r="B27" s="81" t="s">
        <v>138</v>
      </c>
      <c r="C27" s="4">
        <v>44148</v>
      </c>
      <c r="D27" s="49" t="s">
        <v>184</v>
      </c>
      <c r="E27" s="92" t="s">
        <v>179</v>
      </c>
      <c r="F27" s="49" t="s">
        <v>188</v>
      </c>
      <c r="G27" s="49" t="s">
        <v>198</v>
      </c>
      <c r="H27" s="49" t="s">
        <v>199</v>
      </c>
      <c r="I27" s="49" t="s">
        <v>200</v>
      </c>
      <c r="J27" s="4"/>
      <c r="K27" s="125">
        <v>44183</v>
      </c>
      <c r="L27" s="49" t="s">
        <v>209</v>
      </c>
      <c r="M27" s="31">
        <f>7485000+7594999+7827407</f>
        <v>22907406</v>
      </c>
      <c r="N27" s="32">
        <v>3</v>
      </c>
      <c r="O27" s="49" t="s">
        <v>2101</v>
      </c>
      <c r="P27" s="127">
        <v>7485000</v>
      </c>
      <c r="Q27" s="125">
        <v>44221</v>
      </c>
      <c r="R27" s="90" t="s">
        <v>2091</v>
      </c>
      <c r="S27" s="90"/>
      <c r="T27" s="90"/>
      <c r="U27" s="90"/>
      <c r="V27" s="33" t="s">
        <v>72</v>
      </c>
      <c r="W27" s="33" t="s">
        <v>24</v>
      </c>
      <c r="X27" s="53"/>
    </row>
    <row r="28" spans="1:24" ht="22.5" x14ac:dyDescent="0.2">
      <c r="A28" s="2" t="s">
        <v>139</v>
      </c>
      <c r="B28" s="93" t="s">
        <v>149</v>
      </c>
      <c r="C28" s="4" t="s">
        <v>86</v>
      </c>
      <c r="D28" s="44" t="s">
        <v>86</v>
      </c>
      <c r="E28" s="5" t="s">
        <v>86</v>
      </c>
      <c r="F28" s="5" t="s">
        <v>86</v>
      </c>
      <c r="G28" s="5"/>
      <c r="H28" s="5"/>
      <c r="I28" s="5"/>
      <c r="J28" s="5"/>
      <c r="K28" s="126" t="s">
        <v>86</v>
      </c>
      <c r="L28" s="126" t="s">
        <v>86</v>
      </c>
      <c r="M28" s="31">
        <v>114906.06</v>
      </c>
      <c r="N28" s="32">
        <v>1</v>
      </c>
      <c r="O28" s="49" t="s">
        <v>155</v>
      </c>
      <c r="P28" s="128">
        <v>114906.06</v>
      </c>
      <c r="Q28" s="125">
        <v>44144</v>
      </c>
      <c r="R28" s="90" t="s">
        <v>148</v>
      </c>
      <c r="S28" s="90"/>
      <c r="T28" s="90"/>
      <c r="U28" s="90"/>
      <c r="V28" s="33" t="s">
        <v>87</v>
      </c>
      <c r="W28" s="33" t="s">
        <v>22</v>
      </c>
      <c r="X28" s="53" t="s">
        <v>140</v>
      </c>
    </row>
    <row r="29" spans="1:24" ht="22.5" x14ac:dyDescent="0.2">
      <c r="A29" s="2" t="s">
        <v>141</v>
      </c>
      <c r="B29" s="93" t="s">
        <v>142</v>
      </c>
      <c r="C29" s="5" t="s">
        <v>86</v>
      </c>
      <c r="D29" s="44" t="s">
        <v>86</v>
      </c>
      <c r="E29" s="5" t="s">
        <v>86</v>
      </c>
      <c r="F29" s="5" t="s">
        <v>86</v>
      </c>
      <c r="G29" s="5"/>
      <c r="H29" s="5"/>
      <c r="I29" s="5"/>
      <c r="J29" s="5"/>
      <c r="K29" s="126" t="s">
        <v>86</v>
      </c>
      <c r="L29" s="126" t="s">
        <v>86</v>
      </c>
      <c r="M29" s="31">
        <v>338908</v>
      </c>
      <c r="N29" s="32">
        <v>1</v>
      </c>
      <c r="O29" s="49" t="s">
        <v>156</v>
      </c>
      <c r="P29" s="56">
        <v>338908</v>
      </c>
      <c r="Q29" s="125">
        <v>44144</v>
      </c>
      <c r="R29" s="90" t="s">
        <v>150</v>
      </c>
      <c r="S29" s="90"/>
      <c r="T29" s="90"/>
      <c r="U29" s="90"/>
      <c r="V29" s="33" t="s">
        <v>87</v>
      </c>
      <c r="W29" s="33" t="s">
        <v>22</v>
      </c>
      <c r="X29" s="53" t="s">
        <v>143</v>
      </c>
    </row>
    <row r="30" spans="1:24" x14ac:dyDescent="0.2">
      <c r="A30" s="2" t="s">
        <v>144</v>
      </c>
      <c r="B30" s="93" t="s">
        <v>145</v>
      </c>
      <c r="C30" s="5" t="s">
        <v>86</v>
      </c>
      <c r="D30" s="44" t="s">
        <v>86</v>
      </c>
      <c r="E30" s="5" t="s">
        <v>152</v>
      </c>
      <c r="F30" s="49" t="s">
        <v>158</v>
      </c>
      <c r="G30" s="5"/>
      <c r="H30" s="5"/>
      <c r="I30" s="5"/>
      <c r="J30" s="5"/>
      <c r="K30" s="126">
        <v>44166</v>
      </c>
      <c r="L30" s="126" t="s">
        <v>86</v>
      </c>
      <c r="M30" s="31">
        <v>0</v>
      </c>
      <c r="N30" s="32">
        <v>0</v>
      </c>
      <c r="O30" s="49"/>
      <c r="P30" s="127"/>
      <c r="Q30" s="125"/>
      <c r="R30" s="90"/>
      <c r="S30" s="90"/>
      <c r="T30" s="90"/>
      <c r="U30" s="90"/>
      <c r="V30" s="33" t="s">
        <v>72</v>
      </c>
      <c r="W30" s="33" t="s">
        <v>23</v>
      </c>
      <c r="X30" s="53"/>
    </row>
    <row r="31" spans="1:24" ht="22.5" x14ac:dyDescent="0.2">
      <c r="A31" s="2" t="s">
        <v>146</v>
      </c>
      <c r="B31" s="93" t="s">
        <v>147</v>
      </c>
      <c r="C31" s="5" t="s">
        <v>86</v>
      </c>
      <c r="D31" s="44" t="s">
        <v>86</v>
      </c>
      <c r="E31" s="5" t="s">
        <v>86</v>
      </c>
      <c r="F31" s="5" t="s">
        <v>86</v>
      </c>
      <c r="G31" s="5"/>
      <c r="H31" s="5"/>
      <c r="I31" s="5"/>
      <c r="J31" s="5"/>
      <c r="K31" s="126" t="s">
        <v>86</v>
      </c>
      <c r="L31" s="126" t="s">
        <v>86</v>
      </c>
      <c r="M31" s="31">
        <v>500156.85</v>
      </c>
      <c r="N31" s="32">
        <v>1</v>
      </c>
      <c r="O31" s="49" t="s">
        <v>169</v>
      </c>
      <c r="P31" s="127">
        <v>500156.85</v>
      </c>
      <c r="Q31" s="125">
        <v>44151</v>
      </c>
      <c r="R31" s="90" t="s">
        <v>113</v>
      </c>
      <c r="S31" s="90"/>
      <c r="T31" s="90"/>
      <c r="U31" s="90"/>
      <c r="V31" s="33" t="s">
        <v>87</v>
      </c>
      <c r="W31" s="33" t="s">
        <v>22</v>
      </c>
      <c r="X31" s="53" t="s">
        <v>88</v>
      </c>
    </row>
    <row r="32" spans="1:24" ht="22.5" x14ac:dyDescent="0.2">
      <c r="A32" s="2" t="s">
        <v>153</v>
      </c>
      <c r="B32" s="93" t="s">
        <v>159</v>
      </c>
      <c r="C32" s="5" t="s">
        <v>86</v>
      </c>
      <c r="D32" s="44" t="s">
        <v>86</v>
      </c>
      <c r="E32" s="5" t="s">
        <v>86</v>
      </c>
      <c r="F32" s="5" t="s">
        <v>86</v>
      </c>
      <c r="G32" s="5"/>
      <c r="H32" s="5"/>
      <c r="I32" s="5"/>
      <c r="J32" s="5"/>
      <c r="K32" s="126" t="s">
        <v>86</v>
      </c>
      <c r="L32" s="126" t="s">
        <v>86</v>
      </c>
      <c r="M32" s="31">
        <v>60000</v>
      </c>
      <c r="N32" s="32">
        <v>1</v>
      </c>
      <c r="O32" s="49" t="s">
        <v>170</v>
      </c>
      <c r="P32" s="127">
        <v>60000</v>
      </c>
      <c r="Q32" s="125">
        <v>44151</v>
      </c>
      <c r="R32" s="90" t="s">
        <v>161</v>
      </c>
      <c r="S32" s="90"/>
      <c r="T32" s="90"/>
      <c r="U32" s="90"/>
      <c r="V32" s="33" t="s">
        <v>87</v>
      </c>
      <c r="W32" s="33" t="s">
        <v>22</v>
      </c>
      <c r="X32" s="53" t="s">
        <v>160</v>
      </c>
    </row>
    <row r="33" spans="1:24" ht="22.5" x14ac:dyDescent="0.2">
      <c r="A33" s="2" t="s">
        <v>163</v>
      </c>
      <c r="B33" s="93" t="s">
        <v>166</v>
      </c>
      <c r="C33" s="5" t="s">
        <v>86</v>
      </c>
      <c r="D33" s="44" t="s">
        <v>86</v>
      </c>
      <c r="E33" s="5" t="s">
        <v>86</v>
      </c>
      <c r="F33" s="5" t="s">
        <v>86</v>
      </c>
      <c r="G33" s="5"/>
      <c r="H33" s="5"/>
      <c r="I33" s="5"/>
      <c r="J33" s="5"/>
      <c r="K33" s="126" t="s">
        <v>86</v>
      </c>
      <c r="L33" s="126" t="s">
        <v>86</v>
      </c>
      <c r="M33" s="31">
        <v>125000</v>
      </c>
      <c r="N33" s="32">
        <v>1</v>
      </c>
      <c r="O33" s="49" t="s">
        <v>202</v>
      </c>
      <c r="P33" s="127">
        <v>125000</v>
      </c>
      <c r="Q33" s="125">
        <v>44172</v>
      </c>
      <c r="R33" s="90" t="s">
        <v>194</v>
      </c>
      <c r="S33" s="90"/>
      <c r="T33" s="90"/>
      <c r="U33" s="90"/>
      <c r="V33" s="33" t="s">
        <v>87</v>
      </c>
      <c r="W33" s="33" t="s">
        <v>22</v>
      </c>
      <c r="X33" s="53" t="s">
        <v>164</v>
      </c>
    </row>
    <row r="34" spans="1:24" ht="22.5" x14ac:dyDescent="0.2">
      <c r="A34" s="2" t="s">
        <v>165</v>
      </c>
      <c r="B34" s="93" t="s">
        <v>182</v>
      </c>
      <c r="C34" s="5" t="s">
        <v>86</v>
      </c>
      <c r="D34" s="44" t="s">
        <v>86</v>
      </c>
      <c r="E34" s="5" t="s">
        <v>86</v>
      </c>
      <c r="F34" s="5" t="s">
        <v>86</v>
      </c>
      <c r="G34" s="5"/>
      <c r="H34" s="5"/>
      <c r="I34" s="5"/>
      <c r="J34" s="5"/>
      <c r="K34" s="126" t="s">
        <v>86</v>
      </c>
      <c r="L34" s="126" t="s">
        <v>86</v>
      </c>
      <c r="M34" s="31">
        <v>125000</v>
      </c>
      <c r="N34" s="32">
        <v>1</v>
      </c>
      <c r="O34" s="49" t="s">
        <v>203</v>
      </c>
      <c r="P34" s="127">
        <v>125000</v>
      </c>
      <c r="Q34" s="125">
        <v>44172</v>
      </c>
      <c r="R34" s="90" t="s">
        <v>195</v>
      </c>
      <c r="S34" s="90"/>
      <c r="T34" s="90"/>
      <c r="U34" s="90"/>
      <c r="V34" s="33" t="s">
        <v>87</v>
      </c>
      <c r="W34" s="33" t="s">
        <v>23</v>
      </c>
      <c r="X34" s="53" t="s">
        <v>167</v>
      </c>
    </row>
    <row r="35" spans="1:24" ht="22.5" x14ac:dyDescent="0.2">
      <c r="A35" s="2" t="s">
        <v>171</v>
      </c>
      <c r="B35" s="81" t="s">
        <v>172</v>
      </c>
      <c r="C35" s="4" t="s">
        <v>86</v>
      </c>
      <c r="D35" s="44" t="s">
        <v>86</v>
      </c>
      <c r="E35" s="5" t="s">
        <v>86</v>
      </c>
      <c r="F35" s="5" t="s">
        <v>86</v>
      </c>
      <c r="G35" s="5"/>
      <c r="H35" s="5"/>
      <c r="I35" s="5"/>
      <c r="J35" s="5"/>
      <c r="K35" s="126" t="s">
        <v>86</v>
      </c>
      <c r="L35" s="126" t="s">
        <v>86</v>
      </c>
      <c r="M35" s="31">
        <v>235550</v>
      </c>
      <c r="N35" s="32">
        <v>1</v>
      </c>
      <c r="O35" s="49" t="s">
        <v>204</v>
      </c>
      <c r="P35" s="127">
        <v>235550</v>
      </c>
      <c r="Q35" s="129">
        <v>44172</v>
      </c>
      <c r="R35" s="90" t="s">
        <v>196</v>
      </c>
      <c r="S35" s="90"/>
      <c r="T35" s="90"/>
      <c r="U35" s="90"/>
      <c r="V35" s="33" t="s">
        <v>87</v>
      </c>
      <c r="W35" s="33" t="s">
        <v>22</v>
      </c>
      <c r="X35" s="53" t="s">
        <v>173</v>
      </c>
    </row>
    <row r="36" spans="1:24" ht="22.5" x14ac:dyDescent="0.2">
      <c r="A36" s="2" t="s">
        <v>174</v>
      </c>
      <c r="B36" s="81" t="s">
        <v>106</v>
      </c>
      <c r="C36" s="4" t="s">
        <v>86</v>
      </c>
      <c r="D36" s="44" t="s">
        <v>86</v>
      </c>
      <c r="E36" s="5" t="s">
        <v>86</v>
      </c>
      <c r="F36" s="5" t="s">
        <v>86</v>
      </c>
      <c r="G36" s="5"/>
      <c r="H36" s="5"/>
      <c r="I36" s="5"/>
      <c r="J36" s="5"/>
      <c r="K36" s="126" t="s">
        <v>86</v>
      </c>
      <c r="L36" s="126" t="s">
        <v>86</v>
      </c>
      <c r="M36" s="33">
        <v>75396</v>
      </c>
      <c r="N36" s="32">
        <v>1</v>
      </c>
      <c r="O36" s="49" t="s">
        <v>205</v>
      </c>
      <c r="P36" s="127">
        <v>75396</v>
      </c>
      <c r="Q36" s="129">
        <v>44172</v>
      </c>
      <c r="R36" s="90" t="s">
        <v>114</v>
      </c>
      <c r="S36" s="90"/>
      <c r="T36" s="90"/>
      <c r="U36" s="90"/>
      <c r="V36" s="33" t="s">
        <v>87</v>
      </c>
      <c r="W36" s="33" t="s">
        <v>22</v>
      </c>
      <c r="X36" s="53" t="s">
        <v>90</v>
      </c>
    </row>
    <row r="37" spans="1:24" ht="22.5" x14ac:dyDescent="0.2">
      <c r="A37" s="2" t="s">
        <v>175</v>
      </c>
      <c r="B37" s="81" t="s">
        <v>103</v>
      </c>
      <c r="C37" s="4" t="s">
        <v>86</v>
      </c>
      <c r="D37" s="44" t="s">
        <v>86</v>
      </c>
      <c r="E37" s="3" t="s">
        <v>86</v>
      </c>
      <c r="F37" s="3" t="s">
        <v>86</v>
      </c>
      <c r="G37" s="5"/>
      <c r="H37" s="5"/>
      <c r="I37" s="5"/>
      <c r="J37" s="5"/>
      <c r="K37" s="125" t="s">
        <v>86</v>
      </c>
      <c r="L37" s="126" t="s">
        <v>86</v>
      </c>
      <c r="M37" s="31">
        <v>141652</v>
      </c>
      <c r="N37" s="32">
        <v>1</v>
      </c>
      <c r="O37" s="49" t="s">
        <v>206</v>
      </c>
      <c r="P37" s="127">
        <v>141652</v>
      </c>
      <c r="Q37" s="129">
        <v>44172</v>
      </c>
      <c r="R37" s="90" t="s">
        <v>115</v>
      </c>
      <c r="S37" s="90"/>
      <c r="T37" s="90"/>
      <c r="U37" s="90"/>
      <c r="V37" s="33" t="s">
        <v>87</v>
      </c>
      <c r="W37" s="33" t="s">
        <v>22</v>
      </c>
      <c r="X37" s="53" t="s">
        <v>88</v>
      </c>
    </row>
    <row r="38" spans="1:24" ht="22.5" x14ac:dyDescent="0.2">
      <c r="A38" s="2" t="s">
        <v>176</v>
      </c>
      <c r="B38" s="81" t="s">
        <v>183</v>
      </c>
      <c r="C38" s="4" t="s">
        <v>86</v>
      </c>
      <c r="D38" s="44" t="s">
        <v>86</v>
      </c>
      <c r="E38" s="3" t="s">
        <v>86</v>
      </c>
      <c r="F38" s="3" t="s">
        <v>86</v>
      </c>
      <c r="G38" s="5"/>
      <c r="H38" s="5"/>
      <c r="I38" s="5"/>
      <c r="J38" s="5"/>
      <c r="K38" s="125" t="s">
        <v>86</v>
      </c>
      <c r="L38" s="126" t="s">
        <v>86</v>
      </c>
      <c r="M38" s="31">
        <v>128862.88</v>
      </c>
      <c r="N38" s="32">
        <v>1</v>
      </c>
      <c r="O38" s="49" t="s">
        <v>207</v>
      </c>
      <c r="P38" s="127">
        <v>128862.88</v>
      </c>
      <c r="Q38" s="129">
        <v>44172</v>
      </c>
      <c r="R38" s="90" t="s">
        <v>113</v>
      </c>
      <c r="S38" s="90"/>
      <c r="T38" s="90"/>
      <c r="U38" s="90"/>
      <c r="V38" s="33" t="s">
        <v>87</v>
      </c>
      <c r="W38" s="33" t="s">
        <v>22</v>
      </c>
      <c r="X38" s="53" t="s">
        <v>88</v>
      </c>
    </row>
    <row r="39" spans="1:24" x14ac:dyDescent="0.2">
      <c r="A39" s="2" t="s">
        <v>178</v>
      </c>
      <c r="B39" s="81" t="s">
        <v>177</v>
      </c>
      <c r="C39" s="4" t="s">
        <v>86</v>
      </c>
      <c r="D39" s="44" t="s">
        <v>86</v>
      </c>
      <c r="E39" s="3" t="s">
        <v>186</v>
      </c>
      <c r="F39" s="49" t="s">
        <v>189</v>
      </c>
      <c r="G39" s="5"/>
      <c r="H39" s="5"/>
      <c r="I39" s="5"/>
      <c r="J39" s="5"/>
      <c r="K39" s="125">
        <v>44180</v>
      </c>
      <c r="L39" s="49" t="s">
        <v>210</v>
      </c>
      <c r="M39" s="31">
        <f>250000*N39</f>
        <v>750000</v>
      </c>
      <c r="N39" s="32">
        <v>3</v>
      </c>
      <c r="O39" s="49" t="s">
        <v>239</v>
      </c>
      <c r="P39" s="127">
        <v>250000</v>
      </c>
      <c r="Q39" s="129">
        <v>44221</v>
      </c>
      <c r="R39" s="90" t="s">
        <v>230</v>
      </c>
      <c r="S39" s="90"/>
      <c r="T39" s="90"/>
      <c r="U39" s="90"/>
      <c r="V39" s="33" t="s">
        <v>72</v>
      </c>
      <c r="W39" s="33" t="s">
        <v>23</v>
      </c>
      <c r="X39" s="53"/>
    </row>
    <row r="40" spans="1:24" ht="22.5" x14ac:dyDescent="0.2">
      <c r="A40" s="2" t="s">
        <v>180</v>
      </c>
      <c r="B40" s="81" t="s">
        <v>181</v>
      </c>
      <c r="C40" s="4">
        <v>44230</v>
      </c>
      <c r="D40" s="49" t="s">
        <v>2100</v>
      </c>
      <c r="E40" s="3" t="s">
        <v>2090</v>
      </c>
      <c r="F40" s="49" t="s">
        <v>2110</v>
      </c>
      <c r="G40" s="49" t="s">
        <v>2119</v>
      </c>
      <c r="H40" s="5"/>
      <c r="I40" s="5"/>
      <c r="J40" s="5"/>
      <c r="K40" s="125">
        <v>44260</v>
      </c>
      <c r="L40" s="49" t="s">
        <v>2135</v>
      </c>
      <c r="M40" s="31">
        <f>105398+169135</f>
        <v>274533</v>
      </c>
      <c r="N40" s="32">
        <v>2</v>
      </c>
      <c r="O40" s="49" t="s">
        <v>2158</v>
      </c>
      <c r="P40" s="127">
        <v>105398</v>
      </c>
      <c r="Q40" s="129">
        <v>44284</v>
      </c>
      <c r="R40" s="190" t="s">
        <v>2157</v>
      </c>
      <c r="S40" s="90"/>
      <c r="T40" s="90"/>
      <c r="U40" s="90"/>
      <c r="V40" s="33" t="s">
        <v>72</v>
      </c>
      <c r="W40" s="33" t="s">
        <v>24</v>
      </c>
      <c r="X40" s="53"/>
    </row>
    <row r="41" spans="1:24" x14ac:dyDescent="0.2">
      <c r="A41" s="2" t="s">
        <v>191</v>
      </c>
      <c r="B41" s="81" t="s">
        <v>145</v>
      </c>
      <c r="C41" s="5" t="s">
        <v>86</v>
      </c>
      <c r="D41" s="44" t="s">
        <v>86</v>
      </c>
      <c r="E41" s="3" t="s">
        <v>192</v>
      </c>
      <c r="F41" s="49" t="s">
        <v>208</v>
      </c>
      <c r="G41" s="5"/>
      <c r="H41" s="5"/>
      <c r="I41" s="5"/>
      <c r="J41" s="5"/>
      <c r="K41" s="125">
        <v>44203</v>
      </c>
      <c r="L41" s="49" t="s">
        <v>238</v>
      </c>
      <c r="M41" s="31">
        <f>68070+12420</f>
        <v>80490</v>
      </c>
      <c r="N41" s="32">
        <v>2</v>
      </c>
      <c r="O41" s="49" t="s">
        <v>240</v>
      </c>
      <c r="P41" s="127">
        <f>68000+28000</f>
        <v>96000</v>
      </c>
      <c r="Q41" s="129">
        <v>44221</v>
      </c>
      <c r="R41" s="190" t="s">
        <v>228</v>
      </c>
      <c r="S41" s="90" t="s">
        <v>229</v>
      </c>
      <c r="T41" s="90"/>
      <c r="U41" s="90"/>
      <c r="V41" s="33" t="s">
        <v>72</v>
      </c>
      <c r="W41" s="33" t="s">
        <v>23</v>
      </c>
      <c r="X41" s="53"/>
    </row>
    <row r="42" spans="1:24" ht="33.75" x14ac:dyDescent="0.2">
      <c r="A42" s="2" t="s">
        <v>211</v>
      </c>
      <c r="B42" s="81" t="s">
        <v>212</v>
      </c>
      <c r="C42" s="5" t="s">
        <v>86</v>
      </c>
      <c r="D42" s="5" t="s">
        <v>86</v>
      </c>
      <c r="E42" s="5" t="s">
        <v>86</v>
      </c>
      <c r="F42" s="5" t="s">
        <v>86</v>
      </c>
      <c r="G42" s="49"/>
      <c r="H42" s="5"/>
      <c r="I42" s="5"/>
      <c r="J42" s="5"/>
      <c r="K42" s="126" t="s">
        <v>86</v>
      </c>
      <c r="L42" s="126" t="s">
        <v>86</v>
      </c>
      <c r="M42" s="33">
        <v>322264.06</v>
      </c>
      <c r="N42" s="32">
        <v>2</v>
      </c>
      <c r="O42" s="49" t="s">
        <v>241</v>
      </c>
      <c r="P42" s="127">
        <v>322264.06</v>
      </c>
      <c r="Q42" s="129">
        <v>44207</v>
      </c>
      <c r="R42" s="190" t="s">
        <v>214</v>
      </c>
      <c r="S42" s="90" t="s">
        <v>120</v>
      </c>
      <c r="T42" s="90"/>
      <c r="U42" s="90"/>
      <c r="V42" s="33" t="s">
        <v>87</v>
      </c>
      <c r="W42" s="33" t="s">
        <v>22</v>
      </c>
      <c r="X42" s="78" t="s">
        <v>213</v>
      </c>
    </row>
    <row r="43" spans="1:24" x14ac:dyDescent="0.2">
      <c r="A43" s="2" t="s">
        <v>216</v>
      </c>
      <c r="B43" s="81" t="s">
        <v>217</v>
      </c>
      <c r="C43" s="5">
        <v>44274</v>
      </c>
      <c r="D43" s="49" t="s">
        <v>2165</v>
      </c>
      <c r="E43" s="5" t="s">
        <v>2145</v>
      </c>
      <c r="F43" s="49" t="s">
        <v>2168</v>
      </c>
      <c r="G43" s="49" t="s">
        <v>2167</v>
      </c>
      <c r="H43" s="49"/>
      <c r="I43" s="49"/>
      <c r="J43" s="49"/>
      <c r="K43" s="126">
        <v>44306</v>
      </c>
      <c r="L43" s="49" t="s">
        <v>2183</v>
      </c>
      <c r="M43" s="33">
        <f>2230246.75+2237681+2255525+2277613+2311860.4+2331808.6+2340362+235460.8+2387466.25+2500826.05+2596395.5+2604284.3+2626000+2649904.4+2668337+2710727.53+2931116.4+5219983</f>
        <v>45115597.979999997</v>
      </c>
      <c r="N43" s="32">
        <v>18</v>
      </c>
      <c r="O43" s="49" t="s">
        <v>2225</v>
      </c>
      <c r="P43" s="127">
        <v>2255525</v>
      </c>
      <c r="Q43" s="129">
        <v>44354</v>
      </c>
      <c r="R43" s="190" t="s">
        <v>2222</v>
      </c>
      <c r="S43" s="90"/>
      <c r="T43" s="90"/>
      <c r="U43" s="90"/>
      <c r="V43" s="33" t="s">
        <v>72</v>
      </c>
      <c r="W43" s="33" t="s">
        <v>24</v>
      </c>
      <c r="X43" s="53"/>
    </row>
    <row r="44" spans="1:24" x14ac:dyDescent="0.2">
      <c r="A44" s="2" t="s">
        <v>218</v>
      </c>
      <c r="B44" s="81" t="s">
        <v>226</v>
      </c>
      <c r="C44" s="96">
        <v>44221</v>
      </c>
      <c r="D44" s="49" t="s">
        <v>237</v>
      </c>
      <c r="E44" s="5" t="s">
        <v>227</v>
      </c>
      <c r="F44" s="49" t="s">
        <v>2097</v>
      </c>
      <c r="G44" s="3"/>
      <c r="H44" s="3"/>
      <c r="I44" s="49"/>
      <c r="J44" s="3"/>
      <c r="K44" s="125">
        <v>44257</v>
      </c>
      <c r="L44" s="49" t="s">
        <v>2122</v>
      </c>
      <c r="M44" s="33">
        <v>851676.7</v>
      </c>
      <c r="N44" s="32">
        <v>1</v>
      </c>
      <c r="O44" s="49" t="s">
        <v>2159</v>
      </c>
      <c r="P44" s="127">
        <v>851676.7</v>
      </c>
      <c r="Q44" s="129">
        <v>44284</v>
      </c>
      <c r="R44" s="190" t="s">
        <v>498</v>
      </c>
      <c r="S44" s="90"/>
      <c r="T44" s="90"/>
      <c r="U44" s="90"/>
      <c r="V44" s="33" t="s">
        <v>72</v>
      </c>
      <c r="W44" s="33" t="s">
        <v>24</v>
      </c>
      <c r="X44" s="53"/>
    </row>
    <row r="45" spans="1:24" x14ac:dyDescent="0.2">
      <c r="A45" s="2" t="s">
        <v>219</v>
      </c>
      <c r="B45" s="81" t="s">
        <v>2144</v>
      </c>
      <c r="C45" s="96">
        <v>44223</v>
      </c>
      <c r="D45" s="49" t="s">
        <v>2087</v>
      </c>
      <c r="E45" s="5" t="s">
        <v>233</v>
      </c>
      <c r="F45" s="49" t="s">
        <v>2098</v>
      </c>
      <c r="G45" s="49" t="s">
        <v>2107</v>
      </c>
      <c r="H45" s="49" t="s">
        <v>2108</v>
      </c>
      <c r="I45" s="5"/>
      <c r="J45" s="5"/>
      <c r="K45" s="126">
        <v>44251</v>
      </c>
      <c r="L45" s="49" t="s">
        <v>2123</v>
      </c>
      <c r="M45" s="31">
        <f>352965+382420+401095+401617.02+423240+430197+595415+629125+642654+678448</f>
        <v>4937176.0199999996</v>
      </c>
      <c r="N45" s="32">
        <v>10</v>
      </c>
      <c r="O45" s="49" t="s">
        <v>2160</v>
      </c>
      <c r="P45" s="191">
        <v>323980.82</v>
      </c>
      <c r="Q45" s="129">
        <v>44284</v>
      </c>
      <c r="R45" s="190" t="s">
        <v>2156</v>
      </c>
      <c r="S45" s="90"/>
      <c r="T45" s="90"/>
      <c r="U45" s="90"/>
      <c r="V45" s="33" t="s">
        <v>72</v>
      </c>
      <c r="W45" s="33" t="s">
        <v>24</v>
      </c>
      <c r="X45" s="53"/>
    </row>
    <row r="46" spans="1:24" x14ac:dyDescent="0.2">
      <c r="A46" s="2" t="s">
        <v>220</v>
      </c>
      <c r="B46" s="81" t="s">
        <v>221</v>
      </c>
      <c r="C46" s="5" t="s">
        <v>86</v>
      </c>
      <c r="D46" s="5" t="s">
        <v>86</v>
      </c>
      <c r="E46" s="5" t="s">
        <v>231</v>
      </c>
      <c r="F46" s="49" t="s">
        <v>234</v>
      </c>
      <c r="G46" s="49"/>
      <c r="H46" s="49"/>
      <c r="I46" s="5"/>
      <c r="J46" s="5"/>
      <c r="K46" s="126">
        <v>44237</v>
      </c>
      <c r="L46" s="49" t="s">
        <v>2112</v>
      </c>
      <c r="M46" s="31">
        <f>60000*N46</f>
        <v>120000</v>
      </c>
      <c r="N46" s="32">
        <v>2</v>
      </c>
      <c r="O46" s="49" t="s">
        <v>2139</v>
      </c>
      <c r="P46" s="127">
        <v>60000</v>
      </c>
      <c r="Q46" s="125">
        <v>44270</v>
      </c>
      <c r="R46" s="190" t="s">
        <v>2131</v>
      </c>
      <c r="S46" s="90" t="s">
        <v>2132</v>
      </c>
      <c r="T46" s="90"/>
      <c r="U46" s="90"/>
      <c r="V46" s="33" t="s">
        <v>72</v>
      </c>
      <c r="W46" s="33" t="s">
        <v>22</v>
      </c>
      <c r="X46" s="53"/>
    </row>
    <row r="47" spans="1:24" x14ac:dyDescent="0.2">
      <c r="A47" s="2" t="s">
        <v>222</v>
      </c>
      <c r="B47" s="81" t="s">
        <v>223</v>
      </c>
      <c r="C47" s="5" t="s">
        <v>86</v>
      </c>
      <c r="D47" s="5" t="s">
        <v>86</v>
      </c>
      <c r="E47" s="5" t="s">
        <v>232</v>
      </c>
      <c r="F47" s="49" t="s">
        <v>235</v>
      </c>
      <c r="G47" s="49" t="s">
        <v>2120</v>
      </c>
      <c r="H47" s="49"/>
      <c r="I47" s="5"/>
      <c r="J47" s="5"/>
      <c r="K47" s="125">
        <v>44250</v>
      </c>
      <c r="L47" s="49" t="s">
        <v>2136</v>
      </c>
      <c r="M47" s="33">
        <f>65000*N47</f>
        <v>65000</v>
      </c>
      <c r="N47" s="32">
        <v>1</v>
      </c>
      <c r="O47" s="49" t="s">
        <v>2140</v>
      </c>
      <c r="P47" s="127">
        <v>65000</v>
      </c>
      <c r="Q47" s="125">
        <v>44270</v>
      </c>
      <c r="R47" s="190" t="s">
        <v>2133</v>
      </c>
      <c r="S47" s="90"/>
      <c r="T47" s="90"/>
      <c r="U47" s="90"/>
      <c r="V47" s="33" t="s">
        <v>72</v>
      </c>
      <c r="W47" s="33" t="s">
        <v>23</v>
      </c>
      <c r="X47" s="53"/>
    </row>
    <row r="48" spans="1:24" ht="22.5" x14ac:dyDescent="0.2">
      <c r="A48" s="2" t="s">
        <v>224</v>
      </c>
      <c r="B48" s="81" t="s">
        <v>225</v>
      </c>
      <c r="C48" s="5">
        <v>44224</v>
      </c>
      <c r="D48" s="49" t="s">
        <v>2088</v>
      </c>
      <c r="E48" s="5" t="s">
        <v>2146</v>
      </c>
      <c r="F48" s="49" t="s">
        <v>2099</v>
      </c>
      <c r="G48" s="49" t="s">
        <v>2109</v>
      </c>
      <c r="H48" s="49" t="s">
        <v>2121</v>
      </c>
      <c r="I48" s="3"/>
      <c r="J48" s="3"/>
      <c r="K48" s="125">
        <v>44260</v>
      </c>
      <c r="L48" s="49" t="s">
        <v>2137</v>
      </c>
      <c r="M48" s="33">
        <f>1300000+1355549.3+1362013.8+1378097+1395157.6+1434164+1541117+1562105+1792870</f>
        <v>13121073.699999999</v>
      </c>
      <c r="N48" s="32">
        <v>9</v>
      </c>
      <c r="O48" s="49" t="s">
        <v>2161</v>
      </c>
      <c r="P48" s="127">
        <v>1312143.8</v>
      </c>
      <c r="Q48" s="125">
        <v>44284</v>
      </c>
      <c r="R48" s="192" t="s">
        <v>421</v>
      </c>
      <c r="S48" s="91"/>
      <c r="T48" s="91"/>
      <c r="U48" s="91"/>
      <c r="V48" s="33" t="s">
        <v>72</v>
      </c>
      <c r="W48" s="33" t="s">
        <v>24</v>
      </c>
      <c r="X48" s="53"/>
    </row>
    <row r="49" spans="1:24" x14ac:dyDescent="0.2">
      <c r="A49" s="2" t="s">
        <v>2092</v>
      </c>
      <c r="B49" s="81" t="s">
        <v>1797</v>
      </c>
      <c r="C49" s="3" t="s">
        <v>86</v>
      </c>
      <c r="D49" s="2" t="s">
        <v>86</v>
      </c>
      <c r="E49" s="3" t="s">
        <v>86</v>
      </c>
      <c r="F49" s="5" t="s">
        <v>86</v>
      </c>
      <c r="G49" s="3"/>
      <c r="H49" s="3"/>
      <c r="I49" s="3"/>
      <c r="J49" s="3"/>
      <c r="K49" s="126" t="s">
        <v>86</v>
      </c>
      <c r="L49" s="126" t="s">
        <v>86</v>
      </c>
      <c r="M49" s="31">
        <v>300000</v>
      </c>
      <c r="N49" s="32">
        <v>1</v>
      </c>
      <c r="O49" s="49" t="s">
        <v>2124</v>
      </c>
      <c r="P49" s="127">
        <v>300000</v>
      </c>
      <c r="Q49" s="125">
        <v>44249</v>
      </c>
      <c r="R49" s="190" t="s">
        <v>2118</v>
      </c>
      <c r="S49" s="90"/>
      <c r="T49" s="90"/>
      <c r="U49" s="90"/>
      <c r="V49" s="33" t="s">
        <v>87</v>
      </c>
      <c r="W49" s="33" t="s">
        <v>23</v>
      </c>
      <c r="X49" s="53" t="s">
        <v>2093</v>
      </c>
    </row>
    <row r="50" spans="1:24" ht="22.5" x14ac:dyDescent="0.2">
      <c r="A50" s="2" t="s">
        <v>2094</v>
      </c>
      <c r="B50" s="81" t="s">
        <v>2095</v>
      </c>
      <c r="C50" s="5" t="s">
        <v>86</v>
      </c>
      <c r="D50" s="44" t="s">
        <v>86</v>
      </c>
      <c r="E50" s="3" t="s">
        <v>86</v>
      </c>
      <c r="F50" s="5" t="s">
        <v>86</v>
      </c>
      <c r="G50" s="4"/>
      <c r="H50" s="4"/>
      <c r="I50" s="4"/>
      <c r="J50" s="4"/>
      <c r="K50" s="125" t="s">
        <v>86</v>
      </c>
      <c r="L50" s="126" t="s">
        <v>86</v>
      </c>
      <c r="M50" s="31">
        <v>68865</v>
      </c>
      <c r="N50" s="32">
        <v>1</v>
      </c>
      <c r="O50" s="49" t="s">
        <v>2125</v>
      </c>
      <c r="P50" s="127">
        <v>68865</v>
      </c>
      <c r="Q50" s="125">
        <v>44249</v>
      </c>
      <c r="R50" s="190" t="s">
        <v>2117</v>
      </c>
      <c r="S50" s="90"/>
      <c r="T50" s="90"/>
      <c r="U50" s="90"/>
      <c r="V50" s="33" t="s">
        <v>87</v>
      </c>
      <c r="W50" s="33" t="s">
        <v>23</v>
      </c>
      <c r="X50" s="53" t="s">
        <v>2096</v>
      </c>
    </row>
    <row r="51" spans="1:24" ht="22.5" x14ac:dyDescent="0.2">
      <c r="A51" s="2" t="s">
        <v>2102</v>
      </c>
      <c r="B51" s="81" t="s">
        <v>2129</v>
      </c>
      <c r="C51" s="3" t="s">
        <v>86</v>
      </c>
      <c r="D51" s="2" t="s">
        <v>86</v>
      </c>
      <c r="E51" s="3" t="s">
        <v>86</v>
      </c>
      <c r="F51" s="5" t="s">
        <v>86</v>
      </c>
      <c r="G51" s="47"/>
      <c r="H51" s="4"/>
      <c r="I51" s="4"/>
      <c r="J51" s="4"/>
      <c r="K51" s="126" t="s">
        <v>86</v>
      </c>
      <c r="L51" s="126" t="s">
        <v>86</v>
      </c>
      <c r="M51" s="31">
        <f>20000+140000+60000</f>
        <v>220000</v>
      </c>
      <c r="N51" s="32">
        <v>3</v>
      </c>
      <c r="O51" s="49" t="s">
        <v>2126</v>
      </c>
      <c r="P51" s="127">
        <v>220000</v>
      </c>
      <c r="Q51" s="125">
        <v>44249</v>
      </c>
      <c r="R51" s="190" t="s">
        <v>2114</v>
      </c>
      <c r="S51" s="90" t="s">
        <v>2115</v>
      </c>
      <c r="T51" s="90" t="s">
        <v>2116</v>
      </c>
      <c r="U51" s="90"/>
      <c r="V51" s="33" t="s">
        <v>87</v>
      </c>
      <c r="W51" s="33" t="s">
        <v>22</v>
      </c>
      <c r="X51" s="53" t="s">
        <v>2103</v>
      </c>
    </row>
    <row r="52" spans="1:24" ht="22.5" x14ac:dyDescent="0.2">
      <c r="A52" s="2" t="s">
        <v>2104</v>
      </c>
      <c r="B52" s="81" t="s">
        <v>2105</v>
      </c>
      <c r="C52" s="3" t="s">
        <v>86</v>
      </c>
      <c r="D52" s="2" t="s">
        <v>86</v>
      </c>
      <c r="E52" s="3" t="s">
        <v>86</v>
      </c>
      <c r="F52" s="5" t="s">
        <v>86</v>
      </c>
      <c r="G52" s="47"/>
      <c r="H52" s="4"/>
      <c r="I52" s="4"/>
      <c r="J52" s="4"/>
      <c r="K52" s="126" t="s">
        <v>86</v>
      </c>
      <c r="L52" s="126" t="s">
        <v>86</v>
      </c>
      <c r="M52" s="31">
        <v>86769</v>
      </c>
      <c r="N52" s="32">
        <v>1</v>
      </c>
      <c r="O52" s="49" t="s">
        <v>2127</v>
      </c>
      <c r="P52" s="127">
        <v>86769</v>
      </c>
      <c r="Q52" s="125">
        <v>44249</v>
      </c>
      <c r="R52" s="190" t="s">
        <v>2113</v>
      </c>
      <c r="S52" s="90"/>
      <c r="T52" s="90"/>
      <c r="U52" s="90"/>
      <c r="V52" s="33" t="s">
        <v>87</v>
      </c>
      <c r="W52" s="33" t="s">
        <v>22</v>
      </c>
      <c r="X52" s="53"/>
    </row>
    <row r="53" spans="1:24" ht="22.5" x14ac:dyDescent="0.2">
      <c r="A53" s="2" t="s">
        <v>2128</v>
      </c>
      <c r="B53" s="81" t="s">
        <v>2130</v>
      </c>
      <c r="C53" s="4" t="s">
        <v>86</v>
      </c>
      <c r="D53" s="2" t="s">
        <v>86</v>
      </c>
      <c r="E53" s="3" t="s">
        <v>86</v>
      </c>
      <c r="F53" s="5" t="s">
        <v>86</v>
      </c>
      <c r="G53" s="47"/>
      <c r="H53" s="4"/>
      <c r="I53" s="4"/>
      <c r="J53" s="4"/>
      <c r="K53" s="126" t="s">
        <v>86</v>
      </c>
      <c r="L53" s="126" t="s">
        <v>86</v>
      </c>
      <c r="M53" s="31">
        <v>425580.85</v>
      </c>
      <c r="N53" s="32">
        <v>1</v>
      </c>
      <c r="O53" s="49" t="s">
        <v>2141</v>
      </c>
      <c r="P53" s="127">
        <v>425580.85</v>
      </c>
      <c r="Q53" s="125">
        <v>44270</v>
      </c>
      <c r="R53" s="190" t="s">
        <v>2134</v>
      </c>
      <c r="S53" s="90"/>
      <c r="T53" s="90"/>
      <c r="U53" s="90"/>
      <c r="V53" s="33" t="s">
        <v>87</v>
      </c>
      <c r="W53" s="33" t="s">
        <v>22</v>
      </c>
      <c r="X53" s="53" t="s">
        <v>652</v>
      </c>
    </row>
    <row r="54" spans="1:24" ht="22.5" x14ac:dyDescent="0.2">
      <c r="A54" s="2" t="s">
        <v>2142</v>
      </c>
      <c r="B54" s="81" t="s">
        <v>2143</v>
      </c>
      <c r="C54" s="4" t="s">
        <v>86</v>
      </c>
      <c r="D54" s="2" t="s">
        <v>86</v>
      </c>
      <c r="E54" s="3" t="s">
        <v>86</v>
      </c>
      <c r="F54" s="5" t="s">
        <v>86</v>
      </c>
      <c r="G54" s="47"/>
      <c r="H54" s="4"/>
      <c r="I54" s="4"/>
      <c r="J54" s="4"/>
      <c r="K54" s="126" t="s">
        <v>86</v>
      </c>
      <c r="L54" s="126" t="s">
        <v>86</v>
      </c>
      <c r="M54" s="31">
        <v>90407</v>
      </c>
      <c r="N54" s="32">
        <v>1</v>
      </c>
      <c r="O54" s="49" t="s">
        <v>2162</v>
      </c>
      <c r="P54" s="127">
        <v>90407</v>
      </c>
      <c r="Q54" s="125">
        <v>44284</v>
      </c>
      <c r="R54" s="190" t="s">
        <v>2154</v>
      </c>
      <c r="S54" s="90"/>
      <c r="T54" s="90"/>
      <c r="U54" s="90"/>
      <c r="V54" s="33" t="s">
        <v>87</v>
      </c>
      <c r="W54" s="33" t="s">
        <v>23</v>
      </c>
      <c r="X54" s="53" t="s">
        <v>2155</v>
      </c>
    </row>
    <row r="55" spans="1:24" x14ac:dyDescent="0.2">
      <c r="A55" s="2" t="s">
        <v>2151</v>
      </c>
      <c r="B55" s="81" t="s">
        <v>2152</v>
      </c>
      <c r="C55" s="4" t="s">
        <v>86</v>
      </c>
      <c r="D55" s="2" t="s">
        <v>86</v>
      </c>
      <c r="E55" s="3" t="s">
        <v>2172</v>
      </c>
      <c r="F55" s="49" t="s">
        <v>2174</v>
      </c>
      <c r="G55" s="4"/>
      <c r="H55" s="4"/>
      <c r="I55" s="4"/>
      <c r="J55" s="4"/>
      <c r="K55" s="4">
        <v>44313</v>
      </c>
      <c r="L55" s="49" t="s">
        <v>2190</v>
      </c>
      <c r="M55" s="31">
        <f>320000*N55</f>
        <v>320000</v>
      </c>
      <c r="N55" s="32">
        <v>1</v>
      </c>
      <c r="O55" s="49" t="s">
        <v>2220</v>
      </c>
      <c r="P55" s="89">
        <v>320000</v>
      </c>
      <c r="Q55" s="4">
        <v>44340</v>
      </c>
      <c r="R55" s="90" t="s">
        <v>2213</v>
      </c>
      <c r="S55" s="90"/>
      <c r="T55" s="90"/>
      <c r="U55" s="90"/>
      <c r="V55" s="33" t="s">
        <v>72</v>
      </c>
      <c r="W55" s="33" t="s">
        <v>22</v>
      </c>
      <c r="X55" s="78"/>
    </row>
    <row r="56" spans="1:24" ht="22.5" x14ac:dyDescent="0.2">
      <c r="A56" s="2" t="s">
        <v>2153</v>
      </c>
      <c r="B56" s="81" t="s">
        <v>2237</v>
      </c>
      <c r="C56" s="4">
        <v>44299</v>
      </c>
      <c r="D56" s="49" t="s">
        <v>2189</v>
      </c>
      <c r="E56" s="3" t="s">
        <v>2180</v>
      </c>
      <c r="F56" s="49" t="s">
        <v>2188</v>
      </c>
      <c r="G56" s="49"/>
      <c r="H56" s="49"/>
      <c r="I56" s="125"/>
      <c r="J56" s="125"/>
      <c r="K56" s="125">
        <v>44336</v>
      </c>
      <c r="L56" s="49" t="s">
        <v>2208</v>
      </c>
      <c r="M56" s="31">
        <f>633362.5+668074+681643+699522.5+784175.5+792075.75+867131.4+973819+973934.66+1095610+1336484.55+1399981+1675791</f>
        <v>12581604.860000001</v>
      </c>
      <c r="N56" s="32">
        <v>13</v>
      </c>
      <c r="O56" s="49" t="s">
        <v>2279</v>
      </c>
      <c r="P56" s="89">
        <v>668074</v>
      </c>
      <c r="Q56" s="4">
        <v>44389</v>
      </c>
      <c r="R56" s="90" t="s">
        <v>2262</v>
      </c>
      <c r="S56" s="90"/>
      <c r="T56" s="90"/>
      <c r="U56" s="90"/>
      <c r="V56" s="33" t="s">
        <v>72</v>
      </c>
      <c r="W56" s="33" t="s">
        <v>24</v>
      </c>
      <c r="X56" s="53"/>
    </row>
    <row r="57" spans="1:24" ht="22.5" x14ac:dyDescent="0.2">
      <c r="A57" s="2" t="s">
        <v>2163</v>
      </c>
      <c r="B57" s="81" t="s">
        <v>2164</v>
      </c>
      <c r="C57" s="4" t="s">
        <v>86</v>
      </c>
      <c r="D57" s="2" t="s">
        <v>86</v>
      </c>
      <c r="E57" s="3" t="s">
        <v>86</v>
      </c>
      <c r="F57" s="5" t="s">
        <v>86</v>
      </c>
      <c r="G57" s="47"/>
      <c r="H57" s="4"/>
      <c r="I57" s="125"/>
      <c r="J57" s="125"/>
      <c r="K57" s="126" t="s">
        <v>86</v>
      </c>
      <c r="L57" s="49" t="s">
        <v>86</v>
      </c>
      <c r="M57" s="31">
        <v>100323.89</v>
      </c>
      <c r="N57" s="32">
        <v>1</v>
      </c>
      <c r="O57" s="49" t="s">
        <v>2176</v>
      </c>
      <c r="P57" s="89">
        <v>100323.89</v>
      </c>
      <c r="Q57" s="4">
        <v>44298</v>
      </c>
      <c r="R57" s="90" t="s">
        <v>520</v>
      </c>
      <c r="S57" s="90"/>
      <c r="T57" s="90"/>
      <c r="U57" s="90"/>
      <c r="V57" s="33" t="s">
        <v>87</v>
      </c>
      <c r="W57" s="33" t="s">
        <v>22</v>
      </c>
      <c r="X57" s="53" t="s">
        <v>521</v>
      </c>
    </row>
    <row r="58" spans="1:24" x14ac:dyDescent="0.2">
      <c r="A58" s="2" t="s">
        <v>2170</v>
      </c>
      <c r="B58" s="81" t="s">
        <v>2171</v>
      </c>
      <c r="C58" s="4" t="s">
        <v>86</v>
      </c>
      <c r="D58" s="2" t="s">
        <v>86</v>
      </c>
      <c r="E58" s="3" t="s">
        <v>2173</v>
      </c>
      <c r="F58" s="49" t="s">
        <v>2175</v>
      </c>
      <c r="G58" s="4"/>
      <c r="H58" s="4"/>
      <c r="I58" s="125"/>
      <c r="J58" s="125"/>
      <c r="K58" s="125">
        <v>44322</v>
      </c>
      <c r="L58" s="49" t="s">
        <v>2209</v>
      </c>
      <c r="M58" s="31">
        <f>75000*N58</f>
        <v>75000</v>
      </c>
      <c r="N58" s="32">
        <v>1</v>
      </c>
      <c r="O58" s="49" t="s">
        <v>2226</v>
      </c>
      <c r="P58" s="89">
        <v>75000</v>
      </c>
      <c r="Q58" s="4">
        <v>44354</v>
      </c>
      <c r="R58" s="90" t="s">
        <v>2559</v>
      </c>
      <c r="S58" s="90"/>
      <c r="T58" s="90"/>
      <c r="U58" s="90"/>
      <c r="V58" s="33" t="s">
        <v>72</v>
      </c>
      <c r="W58" s="33" t="s">
        <v>23</v>
      </c>
      <c r="X58" s="53"/>
    </row>
    <row r="59" spans="1:24" x14ac:dyDescent="0.2">
      <c r="A59" s="2" t="s">
        <v>2177</v>
      </c>
      <c r="B59" s="81" t="s">
        <v>1165</v>
      </c>
      <c r="C59" s="96" t="s">
        <v>86</v>
      </c>
      <c r="D59" s="2" t="s">
        <v>86</v>
      </c>
      <c r="E59" s="3" t="s">
        <v>86</v>
      </c>
      <c r="F59" s="3" t="s">
        <v>86</v>
      </c>
      <c r="G59" s="50"/>
      <c r="H59" s="3"/>
      <c r="I59" s="3"/>
      <c r="J59" s="3"/>
      <c r="K59" s="3" t="s">
        <v>86</v>
      </c>
      <c r="L59" s="3" t="s">
        <v>86</v>
      </c>
      <c r="M59" s="31">
        <v>93402</v>
      </c>
      <c r="N59" s="32">
        <v>1</v>
      </c>
      <c r="O59" s="49" t="s">
        <v>2187</v>
      </c>
      <c r="P59" s="89">
        <v>93402</v>
      </c>
      <c r="Q59" s="4">
        <v>44312</v>
      </c>
      <c r="R59" s="90" t="s">
        <v>1167</v>
      </c>
      <c r="S59" s="90"/>
      <c r="T59" s="90"/>
      <c r="U59" s="90"/>
      <c r="V59" s="33" t="s">
        <v>87</v>
      </c>
      <c r="W59" s="33" t="s">
        <v>22</v>
      </c>
      <c r="X59" s="53" t="s">
        <v>90</v>
      </c>
    </row>
    <row r="60" spans="1:24" ht="22.5" x14ac:dyDescent="0.2">
      <c r="A60" s="2" t="s">
        <v>2178</v>
      </c>
      <c r="B60" s="81" t="s">
        <v>2179</v>
      </c>
      <c r="C60" s="96" t="s">
        <v>86</v>
      </c>
      <c r="D60" s="2" t="s">
        <v>86</v>
      </c>
      <c r="E60" s="3" t="s">
        <v>86</v>
      </c>
      <c r="F60" s="3" t="s">
        <v>86</v>
      </c>
      <c r="G60" s="4"/>
      <c r="H60" s="4"/>
      <c r="I60" s="4"/>
      <c r="J60" s="4"/>
      <c r="K60" s="3" t="s">
        <v>86</v>
      </c>
      <c r="L60" s="3" t="s">
        <v>86</v>
      </c>
      <c r="M60" s="31">
        <v>107972</v>
      </c>
      <c r="N60" s="32">
        <v>1</v>
      </c>
      <c r="O60" s="49" t="s">
        <v>2186</v>
      </c>
      <c r="P60" s="89">
        <v>107972</v>
      </c>
      <c r="Q60" s="4">
        <v>44312</v>
      </c>
      <c r="R60" s="90" t="s">
        <v>1171</v>
      </c>
      <c r="S60" s="90"/>
      <c r="T60" s="90"/>
      <c r="U60" s="90"/>
      <c r="V60" s="33" t="s">
        <v>87</v>
      </c>
      <c r="W60" s="33" t="s">
        <v>22</v>
      </c>
      <c r="X60" s="53" t="s">
        <v>1340</v>
      </c>
    </row>
    <row r="61" spans="1:24" x14ac:dyDescent="0.2">
      <c r="A61" s="2" t="s">
        <v>2191</v>
      </c>
      <c r="B61" s="81" t="s">
        <v>2193</v>
      </c>
      <c r="C61" s="96" t="s">
        <v>86</v>
      </c>
      <c r="D61" s="2" t="s">
        <v>86</v>
      </c>
      <c r="E61" s="3" t="s">
        <v>2196</v>
      </c>
      <c r="F61" s="49" t="s">
        <v>2198</v>
      </c>
      <c r="G61" s="49" t="s">
        <v>2205</v>
      </c>
      <c r="H61" s="49" t="s">
        <v>2217</v>
      </c>
      <c r="I61" s="49" t="s">
        <v>2218</v>
      </c>
      <c r="J61" s="4"/>
      <c r="K61" s="4">
        <v>44356</v>
      </c>
      <c r="L61" s="49" t="s">
        <v>2243</v>
      </c>
      <c r="M61" s="31">
        <f>199000*N61</f>
        <v>796000</v>
      </c>
      <c r="N61" s="32">
        <v>4</v>
      </c>
      <c r="O61" s="49" t="s">
        <v>2464</v>
      </c>
      <c r="P61" s="89">
        <v>199000</v>
      </c>
      <c r="Q61" s="4">
        <v>44480</v>
      </c>
      <c r="R61" s="90" t="s">
        <v>2420</v>
      </c>
      <c r="S61" s="90"/>
      <c r="T61" s="90"/>
      <c r="U61" s="90"/>
      <c r="V61" s="33" t="s">
        <v>72</v>
      </c>
      <c r="W61" s="33" t="s">
        <v>22</v>
      </c>
      <c r="X61" s="53"/>
    </row>
    <row r="62" spans="1:24" ht="22.5" x14ac:dyDescent="0.2">
      <c r="A62" s="2" t="s">
        <v>2192</v>
      </c>
      <c r="B62" s="81" t="s">
        <v>2202</v>
      </c>
      <c r="C62" s="4" t="s">
        <v>86</v>
      </c>
      <c r="D62" s="2" t="s">
        <v>86</v>
      </c>
      <c r="E62" s="3" t="s">
        <v>2201</v>
      </c>
      <c r="F62" s="49" t="s">
        <v>2207</v>
      </c>
      <c r="G62" s="49" t="s">
        <v>2216</v>
      </c>
      <c r="H62" s="47"/>
      <c r="I62" s="4"/>
      <c r="J62" s="4"/>
      <c r="K62" s="4">
        <v>44362</v>
      </c>
      <c r="L62" s="49" t="s">
        <v>2261</v>
      </c>
      <c r="M62" s="31">
        <f>250000*N62</f>
        <v>250000</v>
      </c>
      <c r="N62" s="32">
        <v>1</v>
      </c>
      <c r="O62" s="49" t="s">
        <v>2280</v>
      </c>
      <c r="P62" s="89">
        <v>250000</v>
      </c>
      <c r="Q62" s="4">
        <v>44389</v>
      </c>
      <c r="R62" s="90" t="s">
        <v>2263</v>
      </c>
      <c r="S62" s="90"/>
      <c r="T62" s="90"/>
      <c r="U62" s="90"/>
      <c r="V62" s="33" t="s">
        <v>72</v>
      </c>
      <c r="W62" s="33" t="s">
        <v>23</v>
      </c>
      <c r="X62" s="53"/>
    </row>
    <row r="63" spans="1:24" ht="22.5" x14ac:dyDescent="0.2">
      <c r="A63" s="2" t="s">
        <v>2194</v>
      </c>
      <c r="B63" s="81" t="s">
        <v>2212</v>
      </c>
      <c r="C63" s="96" t="s">
        <v>86</v>
      </c>
      <c r="D63" s="2" t="s">
        <v>86</v>
      </c>
      <c r="E63" s="3" t="s">
        <v>86</v>
      </c>
      <c r="F63" s="4" t="s">
        <v>86</v>
      </c>
      <c r="G63" s="47"/>
      <c r="H63" s="47"/>
      <c r="I63" s="4"/>
      <c r="J63" s="4"/>
      <c r="K63" s="4" t="s">
        <v>86</v>
      </c>
      <c r="L63" s="5" t="s">
        <v>86</v>
      </c>
      <c r="M63" s="31">
        <f>1246633+58936</f>
        <v>1305569</v>
      </c>
      <c r="N63" s="32">
        <v>1</v>
      </c>
      <c r="O63" s="49" t="s">
        <v>2227</v>
      </c>
      <c r="P63" s="89">
        <f>1246633+58936</f>
        <v>1305569</v>
      </c>
      <c r="Q63" s="94">
        <v>44354</v>
      </c>
      <c r="R63" s="90" t="s">
        <v>731</v>
      </c>
      <c r="S63" s="90" t="s">
        <v>732</v>
      </c>
      <c r="T63" s="90"/>
      <c r="U63" s="90"/>
      <c r="V63" s="33" t="s">
        <v>87</v>
      </c>
      <c r="W63" s="33" t="s">
        <v>24</v>
      </c>
      <c r="X63" s="78" t="s">
        <v>2211</v>
      </c>
    </row>
    <row r="64" spans="1:24" x14ac:dyDescent="0.2">
      <c r="A64" s="2" t="s">
        <v>2229</v>
      </c>
      <c r="B64" s="81" t="s">
        <v>2230</v>
      </c>
      <c r="C64" s="96" t="s">
        <v>86</v>
      </c>
      <c r="D64" s="2" t="s">
        <v>86</v>
      </c>
      <c r="E64" s="3" t="s">
        <v>86</v>
      </c>
      <c r="F64" s="4" t="s">
        <v>86</v>
      </c>
      <c r="G64" s="47"/>
      <c r="H64" s="47"/>
      <c r="I64" s="4"/>
      <c r="J64" s="4"/>
      <c r="K64" s="4" t="s">
        <v>86</v>
      </c>
      <c r="L64" s="5" t="s">
        <v>86</v>
      </c>
      <c r="M64" s="31">
        <v>174930</v>
      </c>
      <c r="N64" s="32">
        <v>1</v>
      </c>
      <c r="O64" s="49" t="s">
        <v>2281</v>
      </c>
      <c r="P64" s="89">
        <v>174930</v>
      </c>
      <c r="Q64" s="4">
        <v>44389</v>
      </c>
      <c r="R64" s="90" t="s">
        <v>2264</v>
      </c>
      <c r="S64" s="90"/>
      <c r="T64" s="90"/>
      <c r="U64" s="90"/>
      <c r="V64" s="33" t="s">
        <v>87</v>
      </c>
      <c r="W64" s="33" t="s">
        <v>22</v>
      </c>
      <c r="X64" s="53" t="s">
        <v>521</v>
      </c>
    </row>
    <row r="65" spans="1:24" ht="22.5" x14ac:dyDescent="0.2">
      <c r="A65" s="2" t="s">
        <v>2231</v>
      </c>
      <c r="B65" s="81" t="s">
        <v>1338</v>
      </c>
      <c r="C65" s="96" t="s">
        <v>86</v>
      </c>
      <c r="D65" s="2" t="s">
        <v>86</v>
      </c>
      <c r="E65" s="3" t="s">
        <v>86</v>
      </c>
      <c r="F65" s="4" t="s">
        <v>86</v>
      </c>
      <c r="G65" s="47"/>
      <c r="H65" s="47"/>
      <c r="I65" s="4"/>
      <c r="J65" s="4"/>
      <c r="K65" s="4" t="s">
        <v>86</v>
      </c>
      <c r="L65" s="5" t="s">
        <v>86</v>
      </c>
      <c r="M65" s="31">
        <v>250000</v>
      </c>
      <c r="N65" s="32">
        <v>1</v>
      </c>
      <c r="O65" s="49" t="s">
        <v>2282</v>
      </c>
      <c r="P65" s="89">
        <v>250000</v>
      </c>
      <c r="Q65" s="4">
        <v>44389</v>
      </c>
      <c r="R65" s="90" t="s">
        <v>1171</v>
      </c>
      <c r="S65" s="90"/>
      <c r="T65" s="90"/>
      <c r="U65" s="90"/>
      <c r="V65" s="33" t="s">
        <v>87</v>
      </c>
      <c r="W65" s="33" t="s">
        <v>22</v>
      </c>
      <c r="X65" s="53" t="s">
        <v>2232</v>
      </c>
    </row>
    <row r="66" spans="1:24" x14ac:dyDescent="0.2">
      <c r="A66" s="2" t="s">
        <v>2236</v>
      </c>
      <c r="B66" s="81" t="s">
        <v>2254</v>
      </c>
      <c r="C66" s="4">
        <v>44377</v>
      </c>
      <c r="D66" s="49" t="s">
        <v>2257</v>
      </c>
      <c r="E66" s="3" t="s">
        <v>2255</v>
      </c>
      <c r="F66" s="49" t="s">
        <v>2301</v>
      </c>
      <c r="G66" s="49"/>
      <c r="H66" s="50"/>
      <c r="I66" s="50"/>
      <c r="J66" s="50"/>
      <c r="K66" s="4">
        <v>44414</v>
      </c>
      <c r="L66" s="49" t="s">
        <v>2342</v>
      </c>
      <c r="M66" s="31">
        <f>817650+706300+451600+599960+699950</f>
        <v>3275460</v>
      </c>
      <c r="N66" s="32">
        <v>5</v>
      </c>
      <c r="O66" s="49" t="s">
        <v>2413</v>
      </c>
      <c r="P66" s="89">
        <v>599960</v>
      </c>
      <c r="Q66" s="4">
        <v>44466</v>
      </c>
      <c r="R66" s="90" t="s">
        <v>2406</v>
      </c>
      <c r="S66" s="90"/>
      <c r="T66" s="90"/>
      <c r="U66" s="90"/>
      <c r="V66" s="33" t="s">
        <v>72</v>
      </c>
      <c r="W66" s="33" t="s">
        <v>24</v>
      </c>
      <c r="X66" s="53"/>
    </row>
    <row r="67" spans="1:24" x14ac:dyDescent="0.2">
      <c r="A67" s="2" t="s">
        <v>2238</v>
      </c>
      <c r="B67" s="81" t="s">
        <v>2239</v>
      </c>
      <c r="C67" s="4">
        <v>44371</v>
      </c>
      <c r="D67" s="49" t="s">
        <v>2258</v>
      </c>
      <c r="E67" s="3" t="s">
        <v>2244</v>
      </c>
      <c r="F67" s="49" t="s">
        <v>2278</v>
      </c>
      <c r="G67" s="49"/>
      <c r="H67" s="50"/>
      <c r="I67" s="5"/>
      <c r="J67" s="5"/>
      <c r="K67" s="4">
        <v>44403</v>
      </c>
      <c r="L67" s="49" t="s">
        <v>2320</v>
      </c>
      <c r="M67" s="31">
        <f>260702.72+279477.32+303804.66+308592.4+325000+331504.2+474002</f>
        <v>2283083.2999999998</v>
      </c>
      <c r="N67" s="32">
        <v>7</v>
      </c>
      <c r="O67" s="49" t="s">
        <v>2353</v>
      </c>
      <c r="P67" s="89">
        <v>260702.72</v>
      </c>
      <c r="Q67" s="4">
        <v>44424</v>
      </c>
      <c r="R67" s="90" t="s">
        <v>2340</v>
      </c>
      <c r="S67" s="90"/>
      <c r="T67" s="90"/>
      <c r="U67" s="90"/>
      <c r="V67" s="33" t="s">
        <v>72</v>
      </c>
      <c r="W67" s="33" t="s">
        <v>24</v>
      </c>
      <c r="X67" s="53"/>
    </row>
    <row r="68" spans="1:24" ht="22.5" x14ac:dyDescent="0.2">
      <c r="A68" s="2" t="s">
        <v>2245</v>
      </c>
      <c r="B68" s="81" t="s">
        <v>2246</v>
      </c>
      <c r="C68" s="4" t="s">
        <v>86</v>
      </c>
      <c r="D68" s="44" t="s">
        <v>86</v>
      </c>
      <c r="E68" s="3" t="s">
        <v>86</v>
      </c>
      <c r="F68" s="3" t="s">
        <v>86</v>
      </c>
      <c r="G68" s="49"/>
      <c r="H68" s="50"/>
      <c r="I68" s="5"/>
      <c r="J68" s="5"/>
      <c r="K68" s="4" t="s">
        <v>86</v>
      </c>
      <c r="L68" s="5" t="s">
        <v>86</v>
      </c>
      <c r="M68" s="31">
        <v>104052</v>
      </c>
      <c r="N68" s="32">
        <v>1</v>
      </c>
      <c r="O68" s="49" t="s">
        <v>2283</v>
      </c>
      <c r="P68" s="89">
        <v>104052</v>
      </c>
      <c r="Q68" s="4">
        <v>44389</v>
      </c>
      <c r="R68" s="90" t="s">
        <v>326</v>
      </c>
      <c r="S68" s="90"/>
      <c r="T68" s="90"/>
      <c r="U68" s="90"/>
      <c r="V68" s="33" t="s">
        <v>87</v>
      </c>
      <c r="W68" s="33" t="s">
        <v>22</v>
      </c>
      <c r="X68" s="53" t="s">
        <v>2247</v>
      </c>
    </row>
    <row r="69" spans="1:24" x14ac:dyDescent="0.2">
      <c r="A69" s="2" t="s">
        <v>2248</v>
      </c>
      <c r="B69" s="81" t="s">
        <v>2249</v>
      </c>
      <c r="C69" s="4" t="s">
        <v>86</v>
      </c>
      <c r="D69" s="44" t="s">
        <v>86</v>
      </c>
      <c r="E69" s="3" t="s">
        <v>86</v>
      </c>
      <c r="F69" s="3" t="s">
        <v>86</v>
      </c>
      <c r="G69" s="5"/>
      <c r="H69" s="50"/>
      <c r="I69" s="5"/>
      <c r="J69" s="5"/>
      <c r="K69" s="4" t="s">
        <v>86</v>
      </c>
      <c r="L69" s="5" t="s">
        <v>86</v>
      </c>
      <c r="M69" s="31">
        <v>130553</v>
      </c>
      <c r="N69" s="32">
        <v>1</v>
      </c>
      <c r="O69" s="49" t="s">
        <v>2284</v>
      </c>
      <c r="P69" s="89">
        <v>130553</v>
      </c>
      <c r="Q69" s="4">
        <v>44389</v>
      </c>
      <c r="R69" s="90" t="s">
        <v>2265</v>
      </c>
      <c r="S69" s="90"/>
      <c r="T69" s="90"/>
      <c r="U69" s="90"/>
      <c r="V69" s="33" t="s">
        <v>87</v>
      </c>
      <c r="W69" s="33" t="s">
        <v>22</v>
      </c>
      <c r="X69" s="53" t="s">
        <v>2253</v>
      </c>
    </row>
    <row r="70" spans="1:24" ht="22.5" x14ac:dyDescent="0.2">
      <c r="A70" s="2" t="s">
        <v>2250</v>
      </c>
      <c r="B70" s="81" t="s">
        <v>2251</v>
      </c>
      <c r="C70" s="4" t="s">
        <v>86</v>
      </c>
      <c r="D70" s="44" t="s">
        <v>86</v>
      </c>
      <c r="E70" s="3" t="s">
        <v>86</v>
      </c>
      <c r="F70" s="3" t="s">
        <v>86</v>
      </c>
      <c r="G70" s="5"/>
      <c r="H70" s="4"/>
      <c r="I70" s="4"/>
      <c r="J70" s="4"/>
      <c r="K70" s="4" t="s">
        <v>86</v>
      </c>
      <c r="L70" s="5" t="s">
        <v>86</v>
      </c>
      <c r="M70" s="31">
        <v>440000</v>
      </c>
      <c r="N70" s="32">
        <v>1</v>
      </c>
      <c r="O70" s="49" t="s">
        <v>2285</v>
      </c>
      <c r="P70" s="89">
        <v>440000</v>
      </c>
      <c r="Q70" s="4">
        <v>44389</v>
      </c>
      <c r="R70" s="90" t="s">
        <v>2266</v>
      </c>
      <c r="S70" s="90"/>
      <c r="T70" s="90"/>
      <c r="U70" s="90"/>
      <c r="V70" s="33" t="s">
        <v>87</v>
      </c>
      <c r="W70" s="33" t="s">
        <v>23</v>
      </c>
      <c r="X70" s="53" t="s">
        <v>2252</v>
      </c>
    </row>
    <row r="71" spans="1:24" x14ac:dyDescent="0.2">
      <c r="A71" s="2" t="s">
        <v>2267</v>
      </c>
      <c r="B71" s="81" t="s">
        <v>2276</v>
      </c>
      <c r="C71" s="4" t="s">
        <v>86</v>
      </c>
      <c r="D71" s="44" t="s">
        <v>86</v>
      </c>
      <c r="E71" s="3" t="s">
        <v>2275</v>
      </c>
      <c r="F71" s="49" t="s">
        <v>2302</v>
      </c>
      <c r="G71" s="126"/>
      <c r="H71" s="50"/>
      <c r="I71" s="5"/>
      <c r="J71" s="5"/>
      <c r="K71" s="4">
        <v>44406</v>
      </c>
      <c r="L71" s="49" t="s">
        <v>2327</v>
      </c>
      <c r="M71" s="31">
        <f>672000*N71</f>
        <v>2016000</v>
      </c>
      <c r="N71" s="32">
        <v>3</v>
      </c>
      <c r="O71" s="49" t="s">
        <v>2386</v>
      </c>
      <c r="P71" s="89">
        <v>672000</v>
      </c>
      <c r="Q71" s="4">
        <v>44452</v>
      </c>
      <c r="R71" s="90" t="s">
        <v>2369</v>
      </c>
      <c r="S71" s="90" t="s">
        <v>2370</v>
      </c>
      <c r="T71" s="90"/>
      <c r="U71" s="90"/>
      <c r="V71" s="33" t="s">
        <v>72</v>
      </c>
      <c r="W71" s="33" t="s">
        <v>23</v>
      </c>
      <c r="X71" s="53"/>
    </row>
    <row r="72" spans="1:24" x14ac:dyDescent="0.2">
      <c r="A72" s="2" t="s">
        <v>2268</v>
      </c>
      <c r="B72" s="81" t="s">
        <v>2269</v>
      </c>
      <c r="C72" s="4">
        <v>44390</v>
      </c>
      <c r="D72" s="49" t="s">
        <v>2307</v>
      </c>
      <c r="E72" s="3" t="s">
        <v>2297</v>
      </c>
      <c r="F72" s="49" t="s">
        <v>2317</v>
      </c>
      <c r="G72" s="49" t="s">
        <v>2347</v>
      </c>
      <c r="H72" s="5"/>
      <c r="I72" s="5"/>
      <c r="J72" s="5"/>
      <c r="K72" s="4">
        <v>44435</v>
      </c>
      <c r="L72" s="49" t="s">
        <v>2378</v>
      </c>
      <c r="M72" s="31">
        <f>539852+561631.75+569216+601309+686273.65+703885+745700</f>
        <v>4407867.4000000004</v>
      </c>
      <c r="N72" s="32">
        <v>7</v>
      </c>
      <c r="O72" s="49" t="s">
        <v>2414</v>
      </c>
      <c r="P72" s="89">
        <v>502352</v>
      </c>
      <c r="Q72" s="4">
        <v>44466</v>
      </c>
      <c r="R72" s="90" t="s">
        <v>2405</v>
      </c>
      <c r="S72" s="90"/>
      <c r="T72" s="90"/>
      <c r="U72" s="90"/>
      <c r="V72" s="33" t="s">
        <v>72</v>
      </c>
      <c r="W72" s="33" t="s">
        <v>24</v>
      </c>
      <c r="X72" s="53"/>
    </row>
    <row r="73" spans="1:24" x14ac:dyDescent="0.2">
      <c r="A73" s="2" t="s">
        <v>2270</v>
      </c>
      <c r="B73" s="81" t="s">
        <v>2152</v>
      </c>
      <c r="C73" s="4" t="s">
        <v>86</v>
      </c>
      <c r="D73" s="44" t="s">
        <v>86</v>
      </c>
      <c r="E73" s="3" t="s">
        <v>2275</v>
      </c>
      <c r="F73" s="49" t="s">
        <v>2303</v>
      </c>
      <c r="G73" s="5"/>
      <c r="H73" s="5"/>
      <c r="I73" s="5"/>
      <c r="J73" s="5"/>
      <c r="K73" s="4">
        <v>44411</v>
      </c>
      <c r="L73" s="49" t="s">
        <v>2343</v>
      </c>
      <c r="M73" s="31">
        <f>300000*N73</f>
        <v>300000</v>
      </c>
      <c r="N73" s="32">
        <v>1</v>
      </c>
      <c r="O73" s="49" t="s">
        <v>2354</v>
      </c>
      <c r="P73" s="89">
        <v>300000</v>
      </c>
      <c r="Q73" s="4">
        <v>44424</v>
      </c>
      <c r="R73" s="90" t="s">
        <v>2339</v>
      </c>
      <c r="S73" s="90"/>
      <c r="T73" s="90"/>
      <c r="U73" s="90"/>
      <c r="V73" s="33" t="s">
        <v>72</v>
      </c>
      <c r="W73" s="33" t="s">
        <v>22</v>
      </c>
      <c r="X73" s="53"/>
    </row>
    <row r="74" spans="1:24" ht="22.5" x14ac:dyDescent="0.2">
      <c r="A74" s="2" t="s">
        <v>2271</v>
      </c>
      <c r="B74" s="81" t="s">
        <v>2272</v>
      </c>
      <c r="C74" s="4" t="s">
        <v>86</v>
      </c>
      <c r="D74" s="44" t="s">
        <v>86</v>
      </c>
      <c r="E74" s="3" t="s">
        <v>2296</v>
      </c>
      <c r="F74" s="49" t="s">
        <v>2304</v>
      </c>
      <c r="G74" s="49" t="s">
        <v>2325</v>
      </c>
      <c r="H74" s="5"/>
      <c r="I74" s="5"/>
      <c r="J74" s="5"/>
      <c r="K74" s="4">
        <v>44420</v>
      </c>
      <c r="L74" s="49" t="s">
        <v>2409</v>
      </c>
      <c r="M74" s="31">
        <v>0</v>
      </c>
      <c r="N74" s="32">
        <v>10</v>
      </c>
      <c r="O74" s="49" t="s">
        <v>2415</v>
      </c>
      <c r="P74" s="89">
        <v>0</v>
      </c>
      <c r="Q74" s="4">
        <v>44466</v>
      </c>
      <c r="R74" s="90" t="s">
        <v>2402</v>
      </c>
      <c r="S74" s="90" t="s">
        <v>2403</v>
      </c>
      <c r="T74" s="90" t="s">
        <v>2404</v>
      </c>
      <c r="U74" s="90"/>
      <c r="V74" s="33" t="s">
        <v>72</v>
      </c>
      <c r="W74" s="33" t="s">
        <v>23</v>
      </c>
      <c r="X74" s="53"/>
    </row>
    <row r="75" spans="1:24" x14ac:dyDescent="0.2">
      <c r="A75" s="2" t="s">
        <v>2273</v>
      </c>
      <c r="B75" s="81" t="s">
        <v>2274</v>
      </c>
      <c r="C75" s="4" t="s">
        <v>86</v>
      </c>
      <c r="D75" s="44" t="s">
        <v>86</v>
      </c>
      <c r="E75" s="3" t="s">
        <v>2300</v>
      </c>
      <c r="F75" s="49" t="s">
        <v>2305</v>
      </c>
      <c r="G75" s="5"/>
      <c r="H75" s="5"/>
      <c r="I75" s="5"/>
      <c r="J75" s="5"/>
      <c r="K75" s="4">
        <v>44420</v>
      </c>
      <c r="L75" s="49" t="s">
        <v>2410</v>
      </c>
      <c r="M75" s="31">
        <v>0</v>
      </c>
      <c r="N75" s="32">
        <v>4</v>
      </c>
      <c r="O75" s="49" t="s">
        <v>2416</v>
      </c>
      <c r="P75" s="89">
        <v>0</v>
      </c>
      <c r="Q75" s="4">
        <v>44466</v>
      </c>
      <c r="R75" s="90" t="s">
        <v>2399</v>
      </c>
      <c r="S75" s="90" t="s">
        <v>2400</v>
      </c>
      <c r="T75" s="90" t="s">
        <v>2401</v>
      </c>
      <c r="U75" s="90"/>
      <c r="V75" s="33" t="s">
        <v>72</v>
      </c>
      <c r="W75" s="33" t="s">
        <v>23</v>
      </c>
      <c r="X75" s="53"/>
    </row>
    <row r="76" spans="1:24" x14ac:dyDescent="0.2">
      <c r="A76" s="2" t="s">
        <v>2277</v>
      </c>
      <c r="B76" s="81" t="s">
        <v>2358</v>
      </c>
      <c r="C76" s="4" t="s">
        <v>86</v>
      </c>
      <c r="D76" s="44" t="s">
        <v>86</v>
      </c>
      <c r="E76" s="3" t="s">
        <v>86</v>
      </c>
      <c r="F76" s="3" t="s">
        <v>86</v>
      </c>
      <c r="G76" s="47"/>
      <c r="H76" s="4"/>
      <c r="I76" s="4"/>
      <c r="J76" s="4"/>
      <c r="K76" s="125" t="s">
        <v>86</v>
      </c>
      <c r="L76" s="126" t="s">
        <v>86</v>
      </c>
      <c r="M76" s="31">
        <v>200000</v>
      </c>
      <c r="N76" s="32">
        <v>1</v>
      </c>
      <c r="O76" s="49" t="s">
        <v>2387</v>
      </c>
      <c r="P76" s="127">
        <v>200000</v>
      </c>
      <c r="Q76" s="125">
        <v>44452</v>
      </c>
      <c r="R76" s="90" t="s">
        <v>1335</v>
      </c>
      <c r="S76" s="90"/>
      <c r="T76" s="90"/>
      <c r="U76" s="90"/>
      <c r="V76" s="33" t="s">
        <v>87</v>
      </c>
      <c r="W76" s="33" t="s">
        <v>22</v>
      </c>
      <c r="X76" s="53" t="s">
        <v>2364</v>
      </c>
    </row>
    <row r="77" spans="1:24" ht="22.5" x14ac:dyDescent="0.2">
      <c r="A77" s="2" t="s">
        <v>2287</v>
      </c>
      <c r="B77" s="81" t="s">
        <v>2288</v>
      </c>
      <c r="C77" s="4" t="s">
        <v>86</v>
      </c>
      <c r="D77" s="44" t="s">
        <v>86</v>
      </c>
      <c r="E77" s="3" t="s">
        <v>86</v>
      </c>
      <c r="F77" s="3" t="s">
        <v>86</v>
      </c>
      <c r="G77" s="49"/>
      <c r="H77" s="5"/>
      <c r="I77" s="5"/>
      <c r="J77" s="5"/>
      <c r="K77" s="4" t="s">
        <v>86</v>
      </c>
      <c r="L77" s="5" t="s">
        <v>86</v>
      </c>
      <c r="M77" s="31">
        <v>55000</v>
      </c>
      <c r="N77" s="32">
        <v>1</v>
      </c>
      <c r="O77" s="49" t="s">
        <v>2328</v>
      </c>
      <c r="P77" s="89">
        <v>55000</v>
      </c>
      <c r="Q77" s="4">
        <v>44410</v>
      </c>
      <c r="R77" s="90" t="s">
        <v>2321</v>
      </c>
      <c r="S77" s="90"/>
      <c r="T77" s="90"/>
      <c r="U77" s="90"/>
      <c r="V77" s="33" t="s">
        <v>87</v>
      </c>
      <c r="W77" s="33" t="s">
        <v>23</v>
      </c>
      <c r="X77" s="53" t="s">
        <v>2289</v>
      </c>
    </row>
    <row r="78" spans="1:24" x14ac:dyDescent="0.2">
      <c r="A78" s="2" t="s">
        <v>2290</v>
      </c>
      <c r="B78" s="81" t="s">
        <v>2291</v>
      </c>
      <c r="C78" s="4" t="s">
        <v>86</v>
      </c>
      <c r="D78" s="44" t="s">
        <v>86</v>
      </c>
      <c r="E78" s="3" t="s">
        <v>2314</v>
      </c>
      <c r="F78" s="49" t="s">
        <v>2318</v>
      </c>
      <c r="G78" s="49"/>
      <c r="H78" s="5"/>
      <c r="I78" s="5"/>
      <c r="J78" s="5"/>
      <c r="K78" s="4">
        <v>44425</v>
      </c>
      <c r="L78" s="49" t="s">
        <v>2379</v>
      </c>
      <c r="M78" s="31">
        <f>60000*N78</f>
        <v>60000</v>
      </c>
      <c r="N78" s="32">
        <v>1</v>
      </c>
      <c r="O78" s="49" t="s">
        <v>2388</v>
      </c>
      <c r="P78" s="89">
        <v>60000</v>
      </c>
      <c r="Q78" s="4">
        <v>44452</v>
      </c>
      <c r="R78" s="90" t="s">
        <v>2371</v>
      </c>
      <c r="S78" s="90"/>
      <c r="T78" s="90"/>
      <c r="U78" s="90"/>
      <c r="V78" s="33" t="s">
        <v>72</v>
      </c>
      <c r="W78" s="33" t="s">
        <v>23</v>
      </c>
      <c r="X78" s="53"/>
    </row>
    <row r="79" spans="1:24" x14ac:dyDescent="0.2">
      <c r="A79" s="2" t="s">
        <v>2292</v>
      </c>
      <c r="B79" s="81" t="s">
        <v>2293</v>
      </c>
      <c r="C79" s="4" t="s">
        <v>86</v>
      </c>
      <c r="D79" s="44" t="s">
        <v>86</v>
      </c>
      <c r="E79" s="3" t="s">
        <v>2344</v>
      </c>
      <c r="F79" s="49" t="s">
        <v>2350</v>
      </c>
      <c r="G79" s="49" t="s">
        <v>2348</v>
      </c>
      <c r="H79" s="4"/>
      <c r="I79" s="4"/>
      <c r="J79" s="4"/>
      <c r="K79" s="4">
        <v>44439</v>
      </c>
      <c r="L79" s="49" t="s">
        <v>2411</v>
      </c>
      <c r="M79" s="31">
        <f>50000*N79</f>
        <v>50000</v>
      </c>
      <c r="N79" s="32">
        <v>1</v>
      </c>
      <c r="O79" s="49" t="s">
        <v>2417</v>
      </c>
      <c r="P79" s="89">
        <v>50000</v>
      </c>
      <c r="Q79" s="4">
        <v>44466</v>
      </c>
      <c r="R79" s="90" t="s">
        <v>2398</v>
      </c>
      <c r="S79" s="90"/>
      <c r="T79" s="90"/>
      <c r="U79" s="90"/>
      <c r="V79" s="33" t="s">
        <v>72</v>
      </c>
      <c r="W79" s="33" t="s">
        <v>22</v>
      </c>
      <c r="X79" s="53"/>
    </row>
    <row r="80" spans="1:24" x14ac:dyDescent="0.2">
      <c r="A80" s="2" t="s">
        <v>2294</v>
      </c>
      <c r="B80" s="81" t="s">
        <v>2295</v>
      </c>
      <c r="C80" s="4" t="s">
        <v>86</v>
      </c>
      <c r="D80" s="44" t="s">
        <v>86</v>
      </c>
      <c r="E80" s="3" t="s">
        <v>2315</v>
      </c>
      <c r="F80" s="49" t="s">
        <v>2319</v>
      </c>
      <c r="G80" s="5"/>
      <c r="H80" s="5"/>
      <c r="I80" s="5"/>
      <c r="J80" s="5"/>
      <c r="K80" s="4">
        <v>44426</v>
      </c>
      <c r="L80" s="49" t="s">
        <v>2412</v>
      </c>
      <c r="M80" s="31">
        <f>150000*N80</f>
        <v>450000</v>
      </c>
      <c r="N80" s="32">
        <v>3</v>
      </c>
      <c r="O80" s="49"/>
      <c r="P80" s="89"/>
      <c r="Q80" s="4"/>
      <c r="R80" s="90"/>
      <c r="S80" s="90"/>
      <c r="T80" s="90"/>
      <c r="U80" s="90"/>
      <c r="V80" s="33" t="s">
        <v>72</v>
      </c>
      <c r="W80" s="33" t="s">
        <v>22</v>
      </c>
      <c r="X80" s="53"/>
    </row>
    <row r="81" spans="1:24" ht="22.5" x14ac:dyDescent="0.2">
      <c r="A81" s="2" t="s">
        <v>2298</v>
      </c>
      <c r="B81" s="81" t="s">
        <v>2299</v>
      </c>
      <c r="C81" s="4" t="s">
        <v>86</v>
      </c>
      <c r="D81" s="44" t="s">
        <v>86</v>
      </c>
      <c r="E81" s="3" t="s">
        <v>2345</v>
      </c>
      <c r="F81" s="49" t="s">
        <v>2351</v>
      </c>
      <c r="G81" s="49"/>
      <c r="H81" s="4"/>
      <c r="I81" s="4"/>
      <c r="J81" s="4"/>
      <c r="K81" s="4">
        <v>44439</v>
      </c>
      <c r="L81" s="126" t="s">
        <v>86</v>
      </c>
      <c r="M81" s="31">
        <v>0</v>
      </c>
      <c r="N81" s="32">
        <v>0</v>
      </c>
      <c r="O81" s="49"/>
      <c r="P81" s="89"/>
      <c r="Q81" s="4"/>
      <c r="R81" s="90"/>
      <c r="S81" s="90"/>
      <c r="T81" s="90"/>
      <c r="U81" s="90"/>
      <c r="V81" s="33" t="s">
        <v>72</v>
      </c>
      <c r="W81" s="33" t="s">
        <v>23</v>
      </c>
      <c r="X81" s="53"/>
    </row>
    <row r="82" spans="1:24" ht="22.5" x14ac:dyDescent="0.2">
      <c r="A82" s="2" t="s">
        <v>2309</v>
      </c>
      <c r="B82" s="81" t="s">
        <v>2310</v>
      </c>
      <c r="C82" s="4" t="s">
        <v>86</v>
      </c>
      <c r="D82" s="44" t="s">
        <v>86</v>
      </c>
      <c r="E82" s="3" t="s">
        <v>86</v>
      </c>
      <c r="F82" s="3" t="s">
        <v>86</v>
      </c>
      <c r="G82" s="49"/>
      <c r="H82" s="5"/>
      <c r="I82" s="5"/>
      <c r="J82" s="5"/>
      <c r="K82" s="4" t="s">
        <v>86</v>
      </c>
      <c r="L82" s="5" t="s">
        <v>86</v>
      </c>
      <c r="M82" s="31">
        <v>145860</v>
      </c>
      <c r="N82" s="32">
        <v>1</v>
      </c>
      <c r="O82" s="49" t="s">
        <v>2329</v>
      </c>
      <c r="P82" s="89">
        <v>145860</v>
      </c>
      <c r="Q82" s="4">
        <v>44410</v>
      </c>
      <c r="R82" s="97" t="s">
        <v>2323</v>
      </c>
      <c r="S82" s="97"/>
      <c r="T82" s="97"/>
      <c r="U82" s="97"/>
      <c r="V82" s="33" t="s">
        <v>87</v>
      </c>
      <c r="W82" s="33" t="s">
        <v>23</v>
      </c>
      <c r="X82" s="53" t="s">
        <v>2311</v>
      </c>
    </row>
    <row r="83" spans="1:24" ht="22.5" x14ac:dyDescent="0.2">
      <c r="A83" s="2" t="s">
        <v>2312</v>
      </c>
      <c r="B83" s="81" t="s">
        <v>2313</v>
      </c>
      <c r="C83" s="4" t="s">
        <v>86</v>
      </c>
      <c r="D83" s="44" t="s">
        <v>86</v>
      </c>
      <c r="E83" s="3" t="s">
        <v>86</v>
      </c>
      <c r="F83" s="3" t="s">
        <v>86</v>
      </c>
      <c r="G83" s="5"/>
      <c r="H83" s="5"/>
      <c r="I83" s="5"/>
      <c r="J83" s="5"/>
      <c r="K83" s="4" t="s">
        <v>86</v>
      </c>
      <c r="L83" s="33" t="s">
        <v>86</v>
      </c>
      <c r="M83" s="31">
        <v>525445.5</v>
      </c>
      <c r="N83" s="32">
        <v>1</v>
      </c>
      <c r="O83" s="49" t="s">
        <v>2330</v>
      </c>
      <c r="P83" s="89">
        <v>525445.5</v>
      </c>
      <c r="Q83" s="4">
        <v>44410</v>
      </c>
      <c r="R83" s="90" t="s">
        <v>370</v>
      </c>
      <c r="S83" s="90"/>
      <c r="T83" s="90"/>
      <c r="U83" s="90"/>
      <c r="V83" s="33" t="s">
        <v>87</v>
      </c>
      <c r="W83" s="33" t="s">
        <v>22</v>
      </c>
      <c r="X83" s="53" t="s">
        <v>656</v>
      </c>
    </row>
    <row r="84" spans="1:24" ht="22.5" x14ac:dyDescent="0.2">
      <c r="A84" s="2" t="s">
        <v>2335</v>
      </c>
      <c r="B84" s="81" t="s">
        <v>2336</v>
      </c>
      <c r="C84" s="4" t="s">
        <v>86</v>
      </c>
      <c r="D84" s="44" t="s">
        <v>86</v>
      </c>
      <c r="E84" s="3" t="s">
        <v>86</v>
      </c>
      <c r="F84" s="3" t="s">
        <v>86</v>
      </c>
      <c r="G84" s="5"/>
      <c r="H84" s="5"/>
      <c r="I84" s="5"/>
      <c r="J84" s="5"/>
      <c r="K84" s="4" t="s">
        <v>86</v>
      </c>
      <c r="L84" s="33" t="s">
        <v>86</v>
      </c>
      <c r="M84" s="31">
        <f>384328.18+69556.16</f>
        <v>453884.33999999997</v>
      </c>
      <c r="N84" s="32">
        <v>1</v>
      </c>
      <c r="O84" s="49" t="s">
        <v>2355</v>
      </c>
      <c r="P84" s="95">
        <f>384328.18+69556.16</f>
        <v>453884.33999999997</v>
      </c>
      <c r="Q84" s="4">
        <v>44424</v>
      </c>
      <c r="R84" s="90" t="s">
        <v>694</v>
      </c>
      <c r="S84" s="90" t="s">
        <v>2338</v>
      </c>
      <c r="T84" s="90"/>
      <c r="U84" s="90"/>
      <c r="V84" s="33" t="s">
        <v>87</v>
      </c>
      <c r="W84" s="33" t="s">
        <v>22</v>
      </c>
      <c r="X84" s="53" t="s">
        <v>2337</v>
      </c>
    </row>
    <row r="85" spans="1:24" x14ac:dyDescent="0.2">
      <c r="A85" s="2" t="s">
        <v>2341</v>
      </c>
      <c r="B85" s="81" t="s">
        <v>2346</v>
      </c>
      <c r="C85" s="5">
        <v>44427</v>
      </c>
      <c r="D85" s="49" t="s">
        <v>2375</v>
      </c>
      <c r="E85" s="3" t="s">
        <v>2356</v>
      </c>
      <c r="F85" s="49" t="s">
        <v>2374</v>
      </c>
      <c r="G85" s="5"/>
      <c r="H85" s="5"/>
      <c r="I85" s="5"/>
      <c r="J85" s="5"/>
      <c r="K85" s="125">
        <v>44462</v>
      </c>
      <c r="L85" s="49" t="s">
        <v>2466</v>
      </c>
      <c r="M85" s="31">
        <f>86000+97000</f>
        <v>183000</v>
      </c>
      <c r="N85" s="32">
        <v>2</v>
      </c>
      <c r="O85" s="49" t="s">
        <v>2465</v>
      </c>
      <c r="P85" s="89">
        <v>86000</v>
      </c>
      <c r="Q85" s="4">
        <v>44480</v>
      </c>
      <c r="R85" s="90" t="s">
        <v>1123</v>
      </c>
      <c r="S85" s="90"/>
      <c r="T85" s="90"/>
      <c r="U85" s="90"/>
      <c r="V85" s="33" t="s">
        <v>72</v>
      </c>
      <c r="W85" s="33" t="s">
        <v>23</v>
      </c>
      <c r="X85" s="53"/>
    </row>
    <row r="86" spans="1:24" ht="22.5" x14ac:dyDescent="0.2">
      <c r="A86" s="2" t="s">
        <v>2362</v>
      </c>
      <c r="B86" s="81" t="s">
        <v>998</v>
      </c>
      <c r="C86" s="5" t="s">
        <v>86</v>
      </c>
      <c r="D86" s="44" t="s">
        <v>86</v>
      </c>
      <c r="E86" s="3" t="s">
        <v>86</v>
      </c>
      <c r="F86" s="5" t="s">
        <v>86</v>
      </c>
      <c r="G86" s="5"/>
      <c r="H86" s="5"/>
      <c r="I86" s="5"/>
      <c r="J86" s="5"/>
      <c r="K86" s="4" t="s">
        <v>86</v>
      </c>
      <c r="L86" s="33" t="s">
        <v>86</v>
      </c>
      <c r="M86" s="31">
        <f>50000+30000</f>
        <v>80000</v>
      </c>
      <c r="N86" s="32">
        <v>2</v>
      </c>
      <c r="O86" s="49" t="s">
        <v>2389</v>
      </c>
      <c r="P86" s="127">
        <v>80000</v>
      </c>
      <c r="Q86" s="125">
        <v>44452</v>
      </c>
      <c r="R86" s="90" t="s">
        <v>1000</v>
      </c>
      <c r="S86" s="90" t="s">
        <v>2372</v>
      </c>
      <c r="T86" s="90"/>
      <c r="U86" s="90"/>
      <c r="V86" s="33" t="s">
        <v>87</v>
      </c>
      <c r="W86" s="33" t="s">
        <v>22</v>
      </c>
      <c r="X86" s="53" t="s">
        <v>2363</v>
      </c>
    </row>
    <row r="87" spans="1:24" ht="22.5" x14ac:dyDescent="0.2">
      <c r="A87" s="2" t="s">
        <v>2365</v>
      </c>
      <c r="B87" s="81" t="s">
        <v>2393</v>
      </c>
      <c r="C87" s="5" t="s">
        <v>86</v>
      </c>
      <c r="D87" s="44" t="s">
        <v>86</v>
      </c>
      <c r="E87" s="3" t="s">
        <v>86</v>
      </c>
      <c r="F87" s="5" t="s">
        <v>86</v>
      </c>
      <c r="G87" s="5"/>
      <c r="H87" s="5"/>
      <c r="I87" s="5"/>
      <c r="J87" s="5"/>
      <c r="K87" s="4" t="s">
        <v>86</v>
      </c>
      <c r="L87" s="33" t="s">
        <v>86</v>
      </c>
      <c r="M87" s="31">
        <f>341585+50651</f>
        <v>392236</v>
      </c>
      <c r="N87" s="32">
        <v>1</v>
      </c>
      <c r="O87" s="49" t="s">
        <v>2390</v>
      </c>
      <c r="P87" s="127">
        <v>392236</v>
      </c>
      <c r="Q87" s="125">
        <v>44452</v>
      </c>
      <c r="R87" s="90" t="s">
        <v>731</v>
      </c>
      <c r="S87" s="90" t="s">
        <v>732</v>
      </c>
      <c r="T87" s="90"/>
      <c r="U87" s="90"/>
      <c r="V87" s="33" t="s">
        <v>87</v>
      </c>
      <c r="W87" s="33" t="s">
        <v>22</v>
      </c>
      <c r="X87" s="78" t="s">
        <v>2211</v>
      </c>
    </row>
    <row r="88" spans="1:24" ht="22.5" x14ac:dyDescent="0.2">
      <c r="A88" s="2" t="s">
        <v>2367</v>
      </c>
      <c r="B88" s="81" t="s">
        <v>2382</v>
      </c>
      <c r="C88" s="5" t="s">
        <v>86</v>
      </c>
      <c r="D88" s="44" t="s">
        <v>86</v>
      </c>
      <c r="E88" s="3" t="s">
        <v>86</v>
      </c>
      <c r="F88" s="3" t="s">
        <v>86</v>
      </c>
      <c r="G88" s="5"/>
      <c r="H88" s="5"/>
      <c r="I88" s="5"/>
      <c r="J88" s="5"/>
      <c r="K88" s="4" t="s">
        <v>86</v>
      </c>
      <c r="L88" s="33" t="s">
        <v>86</v>
      </c>
      <c r="M88" s="31">
        <v>240910</v>
      </c>
      <c r="N88" s="32">
        <v>1</v>
      </c>
      <c r="O88" s="49" t="s">
        <v>2391</v>
      </c>
      <c r="P88" s="127">
        <v>240910</v>
      </c>
      <c r="Q88" s="125">
        <v>44452</v>
      </c>
      <c r="R88" s="90" t="s">
        <v>2368</v>
      </c>
      <c r="S88" s="90"/>
      <c r="T88" s="90"/>
      <c r="U88" s="90"/>
      <c r="V88" s="33" t="s">
        <v>87</v>
      </c>
      <c r="W88" s="33" t="s">
        <v>22</v>
      </c>
      <c r="X88" s="53" t="s">
        <v>814</v>
      </c>
    </row>
    <row r="89" spans="1:24" ht="22.5" x14ac:dyDescent="0.2">
      <c r="A89" s="2" t="s">
        <v>2380</v>
      </c>
      <c r="B89" s="81" t="s">
        <v>2383</v>
      </c>
      <c r="C89" s="5" t="s">
        <v>86</v>
      </c>
      <c r="D89" s="44" t="s">
        <v>86</v>
      </c>
      <c r="E89" s="3" t="s">
        <v>86</v>
      </c>
      <c r="F89" s="3" t="s">
        <v>86</v>
      </c>
      <c r="G89" s="5"/>
      <c r="H89" s="5"/>
      <c r="I89" s="5"/>
      <c r="J89" s="5"/>
      <c r="K89" s="4" t="s">
        <v>86</v>
      </c>
      <c r="L89" s="33" t="s">
        <v>86</v>
      </c>
      <c r="M89" s="31">
        <v>941968</v>
      </c>
      <c r="N89" s="32">
        <v>1</v>
      </c>
      <c r="O89" s="49" t="s">
        <v>2418</v>
      </c>
      <c r="P89" s="127">
        <v>941968</v>
      </c>
      <c r="Q89" s="125">
        <v>44466</v>
      </c>
      <c r="R89" s="90" t="s">
        <v>2397</v>
      </c>
      <c r="S89" s="90"/>
      <c r="T89" s="90"/>
      <c r="U89" s="90"/>
      <c r="V89" s="33" t="s">
        <v>87</v>
      </c>
      <c r="W89" s="33" t="s">
        <v>22</v>
      </c>
      <c r="X89" s="53" t="s">
        <v>2381</v>
      </c>
    </row>
    <row r="90" spans="1:24" ht="22.5" x14ac:dyDescent="0.2">
      <c r="A90" s="2" t="s">
        <v>2392</v>
      </c>
      <c r="B90" s="81" t="s">
        <v>2394</v>
      </c>
      <c r="C90" s="5" t="s">
        <v>86</v>
      </c>
      <c r="D90" s="44" t="s">
        <v>86</v>
      </c>
      <c r="E90" s="98" t="s">
        <v>86</v>
      </c>
      <c r="F90" s="3" t="s">
        <v>86</v>
      </c>
      <c r="G90" s="5"/>
      <c r="H90" s="5"/>
      <c r="I90" s="5"/>
      <c r="J90" s="5"/>
      <c r="K90" s="4" t="s">
        <v>86</v>
      </c>
      <c r="L90" s="33" t="s">
        <v>86</v>
      </c>
      <c r="M90" s="31">
        <f>300000*N90</f>
        <v>300000</v>
      </c>
      <c r="N90" s="32">
        <v>1</v>
      </c>
      <c r="O90" s="49" t="s">
        <v>2419</v>
      </c>
      <c r="P90" s="127">
        <v>300000</v>
      </c>
      <c r="Q90" s="125">
        <v>44466</v>
      </c>
      <c r="R90" s="90" t="s">
        <v>2396</v>
      </c>
      <c r="S90" s="90"/>
      <c r="T90" s="90"/>
      <c r="U90" s="90"/>
      <c r="V90" s="33" t="s">
        <v>87</v>
      </c>
      <c r="W90" s="33" t="s">
        <v>23</v>
      </c>
      <c r="X90" s="53" t="s">
        <v>2395</v>
      </c>
    </row>
    <row r="91" spans="1:24" ht="12" thickBot="1" x14ac:dyDescent="0.25">
      <c r="A91" s="7"/>
      <c r="B91" s="15"/>
      <c r="C91" s="8"/>
      <c r="D91" s="8"/>
      <c r="E91" s="9"/>
      <c r="F91" s="8"/>
      <c r="G91" s="8"/>
      <c r="H91" s="8"/>
      <c r="I91" s="8"/>
      <c r="J91" s="8"/>
      <c r="K91" s="8"/>
      <c r="L91" s="36"/>
      <c r="M91" s="34"/>
      <c r="N91" s="35"/>
      <c r="O91" s="8"/>
      <c r="P91" s="57"/>
      <c r="Q91" s="8"/>
      <c r="R91" s="39"/>
      <c r="S91" s="39"/>
      <c r="T91" s="39"/>
      <c r="U91" s="39"/>
      <c r="V91" s="36"/>
      <c r="W91" s="36"/>
      <c r="X91" s="54"/>
    </row>
    <row r="92" spans="1:24" x14ac:dyDescent="0.2">
      <c r="A92" s="45"/>
      <c r="B92" s="16"/>
      <c r="C92" s="99"/>
      <c r="D92" s="45"/>
      <c r="E92" s="6"/>
      <c r="F92" s="99"/>
      <c r="G92" s="99"/>
      <c r="H92" s="99"/>
      <c r="I92" s="99"/>
      <c r="J92" s="99"/>
      <c r="K92" s="99"/>
      <c r="L92" s="27"/>
      <c r="M92" s="27"/>
      <c r="N92" s="27"/>
      <c r="O92" s="99"/>
      <c r="P92" s="100"/>
      <c r="Q92" s="99"/>
      <c r="R92" s="101"/>
      <c r="S92" s="101"/>
      <c r="T92" s="101"/>
      <c r="U92" s="101"/>
      <c r="V92" s="27"/>
      <c r="W92" s="27"/>
      <c r="X92" s="23"/>
    </row>
    <row r="93" spans="1:24" x14ac:dyDescent="0.2">
      <c r="A93" s="10" t="s">
        <v>8</v>
      </c>
      <c r="B93" s="14" t="s">
        <v>8</v>
      </c>
      <c r="C93" s="1" t="s">
        <v>8</v>
      </c>
      <c r="L93" s="28" t="s">
        <v>25</v>
      </c>
      <c r="M93" s="201">
        <f>SUM(M16:M91)</f>
        <v>139222894.20000002</v>
      </c>
      <c r="N93" s="1"/>
      <c r="O93" s="24" t="s">
        <v>46</v>
      </c>
      <c r="P93" s="25">
        <f>SUM(P15:P91)</f>
        <v>28642093.620000001</v>
      </c>
      <c r="Q93" s="6"/>
      <c r="R93" s="12"/>
      <c r="S93" s="12"/>
      <c r="T93" s="12"/>
      <c r="U93" s="12"/>
      <c r="V93" s="26"/>
      <c r="W93" s="26"/>
    </row>
    <row r="94" spans="1:24" ht="12.75" x14ac:dyDescent="0.2">
      <c r="A94" s="38" t="s">
        <v>62</v>
      </c>
      <c r="B94" s="14"/>
      <c r="N94" s="1"/>
      <c r="O94" s="11"/>
      <c r="P94" s="71" t="s">
        <v>68</v>
      </c>
      <c r="Q94" s="71" t="s">
        <v>69</v>
      </c>
      <c r="R94" s="12"/>
      <c r="S94" s="12"/>
      <c r="T94" s="12"/>
      <c r="U94" s="12"/>
    </row>
    <row r="95" spans="1:24" x14ac:dyDescent="0.2">
      <c r="A95" s="10"/>
      <c r="B95" s="14"/>
      <c r="N95" s="1"/>
      <c r="O95" s="28" t="s">
        <v>22</v>
      </c>
      <c r="P95" s="30">
        <f>SUMIF(W16:W91,"GOODS",$P$16:$P$91)</f>
        <v>8819409.5799999982</v>
      </c>
      <c r="Q95" s="73">
        <f>COUNTIFS(W15:W91,"GOODS",$P$15:$P$91,"&gt;=1")</f>
        <v>41</v>
      </c>
      <c r="R95" s="202"/>
      <c r="S95" s="12"/>
      <c r="T95" s="12"/>
      <c r="U95" s="12"/>
    </row>
    <row r="96" spans="1:24" x14ac:dyDescent="0.2">
      <c r="A96" s="10"/>
      <c r="B96" s="14"/>
      <c r="N96" s="1"/>
      <c r="O96" s="28" t="s">
        <v>23</v>
      </c>
      <c r="P96" s="30">
        <f>SUMIF(W16:W91,"SERVICES",$P$16:$P$91)</f>
        <v>3179132</v>
      </c>
      <c r="Q96" s="73">
        <f>COUNTIFS(W15:W91,"SERVICES",$P$15:$P$91,"&gt;=1")+2</f>
        <v>19</v>
      </c>
      <c r="R96" s="202"/>
      <c r="S96" s="12"/>
      <c r="T96" s="12"/>
      <c r="U96" s="12"/>
    </row>
    <row r="97" spans="1:31" x14ac:dyDescent="0.2">
      <c r="A97" s="10"/>
      <c r="B97" s="14"/>
      <c r="D97" s="82"/>
      <c r="N97" s="1"/>
      <c r="O97" s="28" t="s">
        <v>24</v>
      </c>
      <c r="P97" s="70">
        <f>SUMIF(W16:W91,"CONSTRUCTION",$P$16:$P$91)</f>
        <v>16643552.040000001</v>
      </c>
      <c r="Q97" s="69">
        <f>COUNTIFS(W15:W91,"CONSTRUCTION",$P$15:$P$91,"&gt;=1")</f>
        <v>12</v>
      </c>
      <c r="R97" s="202"/>
      <c r="S97" s="12"/>
      <c r="T97" s="12"/>
      <c r="U97" s="12"/>
    </row>
    <row r="98" spans="1:31" x14ac:dyDescent="0.2">
      <c r="A98" s="10"/>
      <c r="B98" s="14"/>
      <c r="K98" s="11"/>
      <c r="O98" s="6"/>
      <c r="P98" s="75">
        <f>SUM(P95:P97)</f>
        <v>28642093.619999997</v>
      </c>
      <c r="Q98" s="76">
        <f>SUM(Q95:Q97)</f>
        <v>72</v>
      </c>
      <c r="R98" s="203"/>
      <c r="S98" s="12"/>
      <c r="T98" s="12"/>
      <c r="U98" s="12"/>
    </row>
    <row r="99" spans="1:31" ht="15.75" x14ac:dyDescent="0.25">
      <c r="A99" s="88" t="s">
        <v>32</v>
      </c>
      <c r="B99" s="88"/>
      <c r="L99" s="1"/>
      <c r="M99" s="1"/>
      <c r="O99" s="6"/>
      <c r="Q99" s="6"/>
      <c r="R99" s="12"/>
      <c r="S99" s="12"/>
      <c r="T99" s="12"/>
      <c r="U99" s="12"/>
    </row>
    <row r="100" spans="1:31" ht="15.75" x14ac:dyDescent="0.25">
      <c r="A100" s="88" t="str">
        <f>A10</f>
        <v>FISCAL YEAR 2020-2021</v>
      </c>
      <c r="B100" s="88"/>
      <c r="C100" s="88"/>
      <c r="D100" s="102"/>
      <c r="L100" s="1"/>
      <c r="M100" s="1"/>
      <c r="N100" s="1"/>
      <c r="P100" s="14"/>
      <c r="Q100" s="6"/>
      <c r="R100" s="6"/>
      <c r="S100" s="6"/>
      <c r="T100" s="12"/>
      <c r="U100" s="12"/>
      <c r="V100" s="12"/>
      <c r="Y100" s="14"/>
    </row>
    <row r="101" spans="1:31" ht="12" thickBot="1" x14ac:dyDescent="0.25">
      <c r="T101" s="14"/>
      <c r="U101" s="14"/>
      <c r="V101" s="23"/>
      <c r="W101" s="1"/>
      <c r="X101" s="1"/>
    </row>
    <row r="102" spans="1:31" ht="11.85" customHeight="1" x14ac:dyDescent="0.2">
      <c r="A102" s="17"/>
      <c r="B102" s="17"/>
      <c r="C102" s="17"/>
      <c r="D102" s="41"/>
      <c r="E102" s="17"/>
      <c r="F102" s="17"/>
      <c r="G102" s="17"/>
      <c r="H102" s="17"/>
      <c r="I102" s="17"/>
      <c r="J102" s="17"/>
      <c r="K102" s="18" t="s">
        <v>10</v>
      </c>
      <c r="L102" s="18"/>
      <c r="M102" s="18" t="s">
        <v>53</v>
      </c>
      <c r="N102" s="18" t="s">
        <v>47</v>
      </c>
      <c r="O102" s="17"/>
      <c r="P102" s="17"/>
      <c r="Q102" s="210"/>
      <c r="R102" s="211"/>
      <c r="S102" s="86"/>
      <c r="T102" s="18"/>
      <c r="U102" s="18"/>
      <c r="V102" s="210"/>
      <c r="W102" s="211"/>
      <c r="X102" s="1"/>
    </row>
    <row r="103" spans="1:31" ht="11.85" customHeight="1" x14ac:dyDescent="0.2">
      <c r="A103" s="19" t="s">
        <v>0</v>
      </c>
      <c r="B103" s="19" t="s">
        <v>1</v>
      </c>
      <c r="C103" s="19" t="s">
        <v>0</v>
      </c>
      <c r="D103" s="42" t="s">
        <v>39</v>
      </c>
      <c r="E103" s="19" t="s">
        <v>2</v>
      </c>
      <c r="F103" s="19" t="s">
        <v>0</v>
      </c>
      <c r="G103" s="19" t="s">
        <v>41</v>
      </c>
      <c r="H103" s="19" t="s">
        <v>41</v>
      </c>
      <c r="I103" s="19" t="s">
        <v>41</v>
      </c>
      <c r="J103" s="19" t="s">
        <v>41</v>
      </c>
      <c r="K103" s="19" t="s">
        <v>3</v>
      </c>
      <c r="L103" s="19" t="s">
        <v>51</v>
      </c>
      <c r="M103" s="19" t="s">
        <v>54</v>
      </c>
      <c r="N103" s="19" t="s">
        <v>50</v>
      </c>
      <c r="O103" s="19" t="s">
        <v>4</v>
      </c>
      <c r="P103" s="19" t="s">
        <v>4</v>
      </c>
      <c r="Q103" s="212" t="s">
        <v>14</v>
      </c>
      <c r="R103" s="213"/>
      <c r="S103" s="85" t="s">
        <v>15</v>
      </c>
      <c r="T103" s="19" t="s">
        <v>21</v>
      </c>
      <c r="U103" s="19" t="s">
        <v>26</v>
      </c>
      <c r="V103" s="212" t="s">
        <v>65</v>
      </c>
      <c r="W103" s="213"/>
      <c r="X103" s="1"/>
    </row>
    <row r="104" spans="1:31" ht="11.85" customHeight="1" x14ac:dyDescent="0.2">
      <c r="A104" s="19" t="s">
        <v>5</v>
      </c>
      <c r="B104" s="19"/>
      <c r="C104" s="19" t="s">
        <v>39</v>
      </c>
      <c r="D104" s="42" t="s">
        <v>40</v>
      </c>
      <c r="E104" s="19" t="s">
        <v>7</v>
      </c>
      <c r="F104" s="19" t="s">
        <v>64</v>
      </c>
      <c r="G104" s="19" t="s">
        <v>42</v>
      </c>
      <c r="H104" s="19" t="s">
        <v>43</v>
      </c>
      <c r="I104" s="19" t="s">
        <v>44</v>
      </c>
      <c r="J104" s="19" t="s">
        <v>45</v>
      </c>
      <c r="K104" s="19" t="s">
        <v>6</v>
      </c>
      <c r="L104" s="19" t="s">
        <v>36</v>
      </c>
      <c r="M104" s="19" t="s">
        <v>13</v>
      </c>
      <c r="N104" s="19" t="s">
        <v>13</v>
      </c>
      <c r="O104" s="19" t="s">
        <v>9</v>
      </c>
      <c r="P104" s="19" t="s">
        <v>6</v>
      </c>
      <c r="Q104" s="212"/>
      <c r="R104" s="213"/>
      <c r="S104" s="85"/>
      <c r="T104" s="19" t="s">
        <v>28</v>
      </c>
      <c r="U104" s="19" t="s">
        <v>27</v>
      </c>
      <c r="V104" s="212"/>
      <c r="W104" s="213"/>
      <c r="X104" s="1"/>
    </row>
    <row r="105" spans="1:31" ht="2.25" customHeight="1" thickBot="1" x14ac:dyDescent="0.25">
      <c r="A105" s="21"/>
      <c r="B105" s="20"/>
      <c r="C105" s="22"/>
      <c r="D105" s="43"/>
      <c r="E105" s="20"/>
      <c r="F105" s="22"/>
      <c r="G105" s="22"/>
      <c r="H105" s="22"/>
      <c r="I105" s="22"/>
      <c r="J105" s="22"/>
      <c r="K105" s="20"/>
      <c r="L105" s="20"/>
      <c r="M105" s="20"/>
      <c r="N105" s="20"/>
      <c r="O105" s="20"/>
      <c r="P105" s="20"/>
      <c r="Q105" s="214"/>
      <c r="R105" s="215"/>
      <c r="S105" s="103"/>
      <c r="T105" s="20"/>
      <c r="U105" s="20"/>
      <c r="V105" s="214"/>
      <c r="W105" s="215"/>
      <c r="X105" s="1"/>
    </row>
    <row r="106" spans="1:31" x14ac:dyDescent="0.2">
      <c r="A106" s="2" t="s">
        <v>82</v>
      </c>
      <c r="B106" s="93" t="s">
        <v>185</v>
      </c>
      <c r="C106" s="4" t="s">
        <v>86</v>
      </c>
      <c r="D106" s="2" t="s">
        <v>86</v>
      </c>
      <c r="E106" s="4" t="s">
        <v>86</v>
      </c>
      <c r="F106" s="49" t="s">
        <v>190</v>
      </c>
      <c r="G106" s="4"/>
      <c r="H106" s="4"/>
      <c r="I106" s="4"/>
      <c r="J106" s="4"/>
      <c r="K106" s="4">
        <v>44201</v>
      </c>
      <c r="L106" s="49" t="s">
        <v>2089</v>
      </c>
      <c r="M106" s="67">
        <f>20000*N106</f>
        <v>20000</v>
      </c>
      <c r="N106" s="65">
        <v>1</v>
      </c>
      <c r="O106" s="58"/>
      <c r="P106" s="4"/>
      <c r="Q106" s="216"/>
      <c r="R106" s="217"/>
      <c r="S106" s="104"/>
      <c r="T106" s="63" t="s">
        <v>72</v>
      </c>
      <c r="U106" s="63" t="s">
        <v>23</v>
      </c>
      <c r="V106" s="218"/>
      <c r="W106" s="219"/>
      <c r="X106" s="1"/>
      <c r="Y106" s="6"/>
      <c r="Z106" s="12"/>
      <c r="AA106" s="12"/>
      <c r="AB106" s="12"/>
      <c r="AC106" s="14"/>
      <c r="AD106" s="14"/>
      <c r="AE106" s="14"/>
    </row>
    <row r="107" spans="1:31" x14ac:dyDescent="0.2">
      <c r="A107" s="2" t="s">
        <v>215</v>
      </c>
      <c r="B107" s="93" t="s">
        <v>185</v>
      </c>
      <c r="C107" s="4" t="s">
        <v>86</v>
      </c>
      <c r="D107" s="2" t="s">
        <v>86</v>
      </c>
      <c r="E107" s="4" t="s">
        <v>86</v>
      </c>
      <c r="F107" s="49" t="s">
        <v>236</v>
      </c>
      <c r="G107" s="47"/>
      <c r="H107" s="4"/>
      <c r="I107" s="4"/>
      <c r="J107" s="4"/>
      <c r="K107" s="5">
        <v>44229</v>
      </c>
      <c r="L107" s="49" t="s">
        <v>2138</v>
      </c>
      <c r="M107" s="79">
        <f>20000*N107</f>
        <v>20000</v>
      </c>
      <c r="N107" s="65">
        <v>1</v>
      </c>
      <c r="O107" s="59"/>
      <c r="P107" s="4"/>
      <c r="Q107" s="216"/>
      <c r="R107" s="217"/>
      <c r="S107" s="104"/>
      <c r="T107" s="63" t="s">
        <v>72</v>
      </c>
      <c r="U107" s="63" t="s">
        <v>23</v>
      </c>
      <c r="V107" s="220"/>
      <c r="W107" s="221"/>
      <c r="X107" s="1"/>
      <c r="Y107" s="6"/>
      <c r="Z107" s="12"/>
      <c r="AA107" s="12"/>
      <c r="AB107" s="12"/>
      <c r="AC107" s="14"/>
      <c r="AD107" s="14"/>
      <c r="AE107" s="14"/>
    </row>
    <row r="108" spans="1:31" x14ac:dyDescent="0.2">
      <c r="A108" s="2" t="s">
        <v>2106</v>
      </c>
      <c r="B108" s="93" t="s">
        <v>185</v>
      </c>
      <c r="C108" s="4" t="s">
        <v>86</v>
      </c>
      <c r="D108" s="2" t="s">
        <v>86</v>
      </c>
      <c r="E108" s="4" t="s">
        <v>86</v>
      </c>
      <c r="F108" s="49" t="s">
        <v>2111</v>
      </c>
      <c r="G108" s="4"/>
      <c r="H108" s="4"/>
      <c r="I108" s="4"/>
      <c r="J108" s="4"/>
      <c r="K108" s="4">
        <v>44271</v>
      </c>
      <c r="L108" s="49" t="s">
        <v>2185</v>
      </c>
      <c r="M108" s="67">
        <v>20000</v>
      </c>
      <c r="N108" s="65">
        <v>1</v>
      </c>
      <c r="O108" s="59">
        <v>20000</v>
      </c>
      <c r="P108" s="4">
        <v>44277</v>
      </c>
      <c r="Q108" s="216" t="s">
        <v>2181</v>
      </c>
      <c r="R108" s="217"/>
      <c r="S108" s="104"/>
      <c r="T108" s="63" t="s">
        <v>72</v>
      </c>
      <c r="U108" s="63" t="s">
        <v>23</v>
      </c>
      <c r="V108" s="220"/>
      <c r="W108" s="221"/>
      <c r="X108" s="1"/>
      <c r="Y108" s="6"/>
      <c r="Z108" s="12"/>
      <c r="AA108" s="12"/>
      <c r="AB108" s="12"/>
      <c r="AC108" s="14"/>
      <c r="AD108" s="14"/>
      <c r="AE108" s="14"/>
    </row>
    <row r="109" spans="1:31" x14ac:dyDescent="0.2">
      <c r="A109" s="2" t="s">
        <v>2149</v>
      </c>
      <c r="B109" s="93" t="s">
        <v>2150</v>
      </c>
      <c r="C109" s="3" t="s">
        <v>86</v>
      </c>
      <c r="D109" s="45" t="s">
        <v>86</v>
      </c>
      <c r="E109" s="4" t="s">
        <v>86</v>
      </c>
      <c r="F109" s="49" t="s">
        <v>2184</v>
      </c>
      <c r="G109" s="49" t="s">
        <v>2204</v>
      </c>
      <c r="H109" s="4"/>
      <c r="I109" s="4"/>
      <c r="J109" s="4"/>
      <c r="K109" s="4">
        <v>44341</v>
      </c>
      <c r="L109" s="49" t="s">
        <v>2233</v>
      </c>
      <c r="M109" s="67">
        <v>10000</v>
      </c>
      <c r="N109" s="65">
        <v>1</v>
      </c>
      <c r="O109" s="59">
        <v>10000</v>
      </c>
      <c r="P109" s="4">
        <v>44362</v>
      </c>
      <c r="Q109" s="216" t="s">
        <v>2235</v>
      </c>
      <c r="R109" s="217"/>
      <c r="S109" s="104"/>
      <c r="T109" s="63" t="s">
        <v>72</v>
      </c>
      <c r="U109" s="63" t="s">
        <v>23</v>
      </c>
      <c r="V109" s="220"/>
      <c r="W109" s="221"/>
      <c r="X109" s="1"/>
      <c r="Y109" s="6"/>
      <c r="Z109" s="12"/>
      <c r="AA109" s="12"/>
      <c r="AB109" s="12"/>
      <c r="AC109" s="14"/>
      <c r="AD109" s="14"/>
      <c r="AE109" s="14"/>
    </row>
    <row r="110" spans="1:31" ht="12" thickBot="1" x14ac:dyDescent="0.25">
      <c r="A110" s="40"/>
      <c r="B110" s="87"/>
      <c r="C110" s="9"/>
      <c r="D110" s="77"/>
      <c r="E110" s="8"/>
      <c r="F110" s="8"/>
      <c r="G110" s="8"/>
      <c r="H110" s="8"/>
      <c r="I110" s="8"/>
      <c r="J110" s="8"/>
      <c r="K110" s="8"/>
      <c r="L110" s="8"/>
      <c r="M110" s="106"/>
      <c r="N110" s="9"/>
      <c r="O110" s="60"/>
      <c r="P110" s="8"/>
      <c r="Q110" s="224"/>
      <c r="R110" s="225"/>
      <c r="S110" s="107"/>
      <c r="T110" s="9"/>
      <c r="U110" s="9"/>
      <c r="V110" s="226"/>
      <c r="W110" s="227"/>
      <c r="X110" s="1"/>
      <c r="Y110" s="6"/>
      <c r="Z110" s="12"/>
      <c r="AA110" s="12"/>
      <c r="AB110" s="12"/>
      <c r="AC110" s="14"/>
      <c r="AD110" s="14"/>
      <c r="AE110" s="14"/>
    </row>
    <row r="111" spans="1:31" x14ac:dyDescent="0.2">
      <c r="A111" s="10"/>
      <c r="K111" s="11"/>
      <c r="L111" s="11"/>
      <c r="M111" s="1"/>
      <c r="N111" s="13"/>
      <c r="U111" s="14"/>
      <c r="V111" s="6"/>
      <c r="W111" s="1"/>
      <c r="X111" s="6"/>
      <c r="Y111" s="12"/>
      <c r="Z111" s="12"/>
      <c r="AA111" s="12"/>
      <c r="AB111" s="14"/>
      <c r="AC111" s="14"/>
      <c r="AD111" s="14"/>
    </row>
    <row r="112" spans="1:31" x14ac:dyDescent="0.2">
      <c r="A112" s="10"/>
      <c r="C112" s="11"/>
      <c r="E112" s="11"/>
      <c r="F112" s="11"/>
      <c r="G112" s="11"/>
      <c r="H112" s="11"/>
      <c r="I112" s="11"/>
      <c r="L112" s="28" t="s">
        <v>25</v>
      </c>
      <c r="M112" s="29">
        <f>SUM(M106:M110)</f>
        <v>70000</v>
      </c>
      <c r="N112" s="24" t="s">
        <v>46</v>
      </c>
      <c r="O112" s="25">
        <f>SUM(O106:O110)</f>
        <v>30000</v>
      </c>
      <c r="W112" s="6"/>
      <c r="X112" s="1"/>
      <c r="Y112" s="6"/>
      <c r="Z112" s="12"/>
      <c r="AA112" s="12"/>
      <c r="AB112" s="12"/>
      <c r="AC112" s="14"/>
      <c r="AD112" s="14"/>
      <c r="AE112" s="14"/>
    </row>
    <row r="113" spans="1:32" ht="12.75" x14ac:dyDescent="0.2">
      <c r="A113" s="38" t="s">
        <v>62</v>
      </c>
      <c r="K113" s="11"/>
      <c r="L113" s="11"/>
      <c r="M113" s="11"/>
      <c r="N113" s="11"/>
      <c r="O113" s="71" t="s">
        <v>68</v>
      </c>
      <c r="P113" s="71" t="s">
        <v>69</v>
      </c>
      <c r="W113" s="6"/>
      <c r="X113" s="1"/>
      <c r="Y113" s="6"/>
      <c r="Z113" s="12"/>
      <c r="AA113" s="12"/>
      <c r="AB113" s="12"/>
      <c r="AC113" s="14"/>
      <c r="AD113" s="14"/>
      <c r="AE113" s="14"/>
    </row>
    <row r="114" spans="1:32" x14ac:dyDescent="0.2">
      <c r="A114" s="10"/>
      <c r="L114" s="28"/>
      <c r="M114" s="28"/>
      <c r="N114" s="28" t="s">
        <v>22</v>
      </c>
      <c r="O114" s="30">
        <f>SUMIF(U105:U110,"GOODS",$O$105:$O$110)</f>
        <v>0</v>
      </c>
      <c r="P114" s="73">
        <f>COUNTIFS(U105:U110,"GOODS",$O$105:$O$110,"&gt;=1")</f>
        <v>0</v>
      </c>
      <c r="W114" s="6"/>
      <c r="X114" s="1"/>
      <c r="Y114" s="6"/>
      <c r="Z114" s="12"/>
      <c r="AA114" s="12"/>
      <c r="AB114" s="12"/>
      <c r="AC114" s="14"/>
      <c r="AD114" s="14"/>
      <c r="AE114" s="14"/>
    </row>
    <row r="115" spans="1:32" x14ac:dyDescent="0.2">
      <c r="A115" s="10"/>
      <c r="L115" s="28"/>
      <c r="M115" s="28"/>
      <c r="N115" s="28" t="s">
        <v>23</v>
      </c>
      <c r="O115" s="30">
        <f>SUMIF(U105:U110,"SERVICES",$O$105:$O$110)</f>
        <v>30000</v>
      </c>
      <c r="P115" s="73">
        <f>COUNTIFS(U105:U110,"SERVICES",$O$105:$O$110,"&gt;=1")</f>
        <v>2</v>
      </c>
      <c r="V115" s="1"/>
      <c r="X115" s="6"/>
      <c r="Z115" s="6"/>
      <c r="AA115" s="12"/>
      <c r="AB115" s="12"/>
      <c r="AC115" s="12"/>
      <c r="AD115" s="14"/>
      <c r="AE115" s="14"/>
      <c r="AF115" s="14"/>
    </row>
    <row r="116" spans="1:32" x14ac:dyDescent="0.2">
      <c r="A116" s="10"/>
      <c r="L116" s="28"/>
      <c r="M116" s="28"/>
      <c r="N116" s="28" t="s">
        <v>24</v>
      </c>
      <c r="O116" s="30">
        <f>SUMIF(U105:U110,"CONSTRUCTION",$O$105:$O$110)</f>
        <v>0</v>
      </c>
      <c r="P116" s="73">
        <f>COUNTIFS(U105:U110,"CONSTRUCTION",$O$105:$O$110,"&gt;=1")</f>
        <v>0</v>
      </c>
      <c r="V116" s="1"/>
      <c r="X116" s="6"/>
      <c r="Z116" s="6"/>
      <c r="AA116" s="12"/>
      <c r="AB116" s="12"/>
      <c r="AC116" s="12"/>
      <c r="AD116" s="14"/>
      <c r="AE116" s="14"/>
      <c r="AF116" s="14"/>
    </row>
    <row r="117" spans="1:32" x14ac:dyDescent="0.2">
      <c r="A117" s="10"/>
      <c r="B117" s="14"/>
      <c r="C117" s="14"/>
      <c r="D117" s="46"/>
      <c r="L117" s="1"/>
      <c r="M117" s="1"/>
      <c r="N117" s="1"/>
      <c r="O117" s="74">
        <f>SUM(O114:O116)</f>
        <v>30000</v>
      </c>
      <c r="P117" s="72">
        <f>SUM(P114:P116)</f>
        <v>2</v>
      </c>
      <c r="U117" s="14"/>
      <c r="X117" s="6"/>
      <c r="Z117" s="6"/>
      <c r="AA117" s="12"/>
      <c r="AB117" s="12"/>
      <c r="AC117" s="12"/>
      <c r="AD117" s="14"/>
      <c r="AE117" s="14"/>
      <c r="AF117" s="14"/>
    </row>
    <row r="118" spans="1:32" ht="15.75" x14ac:dyDescent="0.25">
      <c r="A118" s="88" t="s">
        <v>31</v>
      </c>
      <c r="B118" s="88"/>
      <c r="L118" s="1"/>
      <c r="M118" s="1"/>
      <c r="N118" s="1"/>
      <c r="V118" s="1"/>
      <c r="W118" s="1"/>
      <c r="X118" s="1"/>
      <c r="Y118" s="12"/>
      <c r="Z118" s="12"/>
      <c r="AA118" s="14"/>
      <c r="AB118" s="14"/>
      <c r="AC118" s="14"/>
    </row>
    <row r="119" spans="1:32" ht="15.75" x14ac:dyDescent="0.25">
      <c r="A119" s="88" t="str">
        <f>A10</f>
        <v>FISCAL YEAR 2020-2021</v>
      </c>
      <c r="B119" s="88"/>
      <c r="L119" s="1"/>
      <c r="M119" s="1"/>
      <c r="N119" s="1"/>
      <c r="V119" s="1"/>
      <c r="W119" s="12"/>
      <c r="Y119" s="14"/>
      <c r="Z119" s="14"/>
    </row>
    <row r="120" spans="1:32" ht="12" thickBot="1" x14ac:dyDescent="0.25">
      <c r="M120" s="1"/>
      <c r="N120" s="1"/>
      <c r="S120" s="14"/>
      <c r="T120" s="14"/>
      <c r="U120" s="23"/>
      <c r="V120" s="1"/>
      <c r="W120" s="1"/>
      <c r="X120" s="1"/>
    </row>
    <row r="121" spans="1:32" ht="11.85" customHeight="1" x14ac:dyDescent="0.2">
      <c r="A121" s="17"/>
      <c r="B121" s="17"/>
      <c r="C121" s="17"/>
      <c r="D121" s="41"/>
      <c r="E121" s="17"/>
      <c r="F121" s="17"/>
      <c r="G121" s="17"/>
      <c r="H121" s="17"/>
      <c r="I121" s="17"/>
      <c r="J121" s="18"/>
      <c r="K121" s="18" t="s">
        <v>10</v>
      </c>
      <c r="L121" s="18" t="s">
        <v>47</v>
      </c>
      <c r="M121" s="18" t="s">
        <v>37</v>
      </c>
      <c r="N121" s="17"/>
      <c r="O121" s="17"/>
      <c r="P121" s="210"/>
      <c r="Q121" s="211"/>
      <c r="R121" s="18"/>
      <c r="S121" s="18"/>
      <c r="T121" s="18"/>
      <c r="U121" s="17"/>
      <c r="V121" s="1"/>
      <c r="W121" s="1"/>
      <c r="X121" s="1"/>
    </row>
    <row r="122" spans="1:32" ht="11.85" customHeight="1" x14ac:dyDescent="0.2">
      <c r="A122" s="19" t="s">
        <v>17</v>
      </c>
      <c r="B122" s="19" t="s">
        <v>1</v>
      </c>
      <c r="C122" s="19" t="s">
        <v>17</v>
      </c>
      <c r="D122" s="42" t="s">
        <v>39</v>
      </c>
      <c r="E122" s="19" t="s">
        <v>2</v>
      </c>
      <c r="F122" s="19" t="s">
        <v>17</v>
      </c>
      <c r="G122" s="19" t="s">
        <v>41</v>
      </c>
      <c r="H122" s="19" t="s">
        <v>41</v>
      </c>
      <c r="I122" s="19" t="s">
        <v>41</v>
      </c>
      <c r="J122" s="19" t="s">
        <v>41</v>
      </c>
      <c r="K122" s="19" t="s">
        <v>3</v>
      </c>
      <c r="L122" s="19" t="s">
        <v>49</v>
      </c>
      <c r="M122" s="19" t="s">
        <v>38</v>
      </c>
      <c r="N122" s="19" t="s">
        <v>4</v>
      </c>
      <c r="O122" s="19" t="s">
        <v>4</v>
      </c>
      <c r="P122" s="212" t="s">
        <v>14</v>
      </c>
      <c r="Q122" s="213"/>
      <c r="R122" s="19" t="s">
        <v>15</v>
      </c>
      <c r="S122" s="19" t="s">
        <v>21</v>
      </c>
      <c r="T122" s="19" t="s">
        <v>26</v>
      </c>
      <c r="U122" s="19" t="s">
        <v>65</v>
      </c>
      <c r="V122" s="1"/>
      <c r="W122" s="1"/>
      <c r="X122" s="1"/>
    </row>
    <row r="123" spans="1:32" ht="11.85" customHeight="1" x14ac:dyDescent="0.2">
      <c r="A123" s="19" t="s">
        <v>5</v>
      </c>
      <c r="B123" s="19"/>
      <c r="C123" s="19" t="s">
        <v>39</v>
      </c>
      <c r="D123" s="42" t="s">
        <v>40</v>
      </c>
      <c r="E123" s="19" t="s">
        <v>7</v>
      </c>
      <c r="F123" s="19" t="s">
        <v>64</v>
      </c>
      <c r="G123" s="19" t="s">
        <v>42</v>
      </c>
      <c r="H123" s="19" t="s">
        <v>43</v>
      </c>
      <c r="I123" s="19" t="s">
        <v>44</v>
      </c>
      <c r="J123" s="19" t="s">
        <v>45</v>
      </c>
      <c r="K123" s="19" t="s">
        <v>6</v>
      </c>
      <c r="L123" s="19" t="s">
        <v>13</v>
      </c>
      <c r="M123" s="19" t="s">
        <v>4</v>
      </c>
      <c r="N123" s="19" t="s">
        <v>9</v>
      </c>
      <c r="O123" s="19" t="s">
        <v>6</v>
      </c>
      <c r="P123" s="212"/>
      <c r="Q123" s="213"/>
      <c r="R123" s="19"/>
      <c r="S123" s="19" t="s">
        <v>28</v>
      </c>
      <c r="T123" s="19" t="s">
        <v>27</v>
      </c>
      <c r="U123" s="108"/>
      <c r="V123" s="1"/>
      <c r="W123" s="1"/>
      <c r="X123" s="1"/>
    </row>
    <row r="124" spans="1:32" ht="2.25" customHeight="1" thickBot="1" x14ac:dyDescent="0.25">
      <c r="A124" s="21"/>
      <c r="B124" s="20"/>
      <c r="C124" s="22"/>
      <c r="D124" s="43"/>
      <c r="E124" s="20"/>
      <c r="F124" s="22"/>
      <c r="G124" s="22"/>
      <c r="H124" s="22"/>
      <c r="I124" s="22"/>
      <c r="J124" s="22"/>
      <c r="K124" s="20"/>
      <c r="L124" s="20"/>
      <c r="M124" s="20"/>
      <c r="N124" s="20"/>
      <c r="O124" s="20"/>
      <c r="P124" s="214"/>
      <c r="Q124" s="215"/>
      <c r="R124" s="20"/>
      <c r="S124" s="20"/>
      <c r="T124" s="20"/>
      <c r="U124" s="20"/>
      <c r="V124" s="1"/>
      <c r="W124" s="1"/>
      <c r="X124" s="1"/>
    </row>
    <row r="125" spans="1:32" x14ac:dyDescent="0.2">
      <c r="A125" s="3" t="s">
        <v>80</v>
      </c>
      <c r="B125" s="93" t="s">
        <v>81</v>
      </c>
      <c r="C125" s="5" t="s">
        <v>73</v>
      </c>
      <c r="D125" s="44" t="s">
        <v>73</v>
      </c>
      <c r="E125" s="5" t="s">
        <v>83</v>
      </c>
      <c r="F125" s="49" t="s">
        <v>131</v>
      </c>
      <c r="G125" s="49" t="s">
        <v>132</v>
      </c>
      <c r="H125" s="49" t="s">
        <v>133</v>
      </c>
      <c r="I125" s="5"/>
      <c r="J125" s="5"/>
      <c r="K125" s="5">
        <v>44112</v>
      </c>
      <c r="L125" s="3">
        <v>3</v>
      </c>
      <c r="M125" s="44"/>
      <c r="N125" s="56"/>
      <c r="O125" s="4"/>
      <c r="P125" s="228"/>
      <c r="Q125" s="229"/>
      <c r="R125" s="109"/>
      <c r="S125" s="110" t="s">
        <v>72</v>
      </c>
      <c r="T125" s="110" t="s">
        <v>23</v>
      </c>
      <c r="U125" s="111"/>
      <c r="V125" s="1"/>
      <c r="W125" s="1"/>
      <c r="X125" s="1"/>
    </row>
    <row r="126" spans="1:32" x14ac:dyDescent="0.2">
      <c r="A126" s="112" t="s">
        <v>2147</v>
      </c>
      <c r="B126" s="93" t="s">
        <v>2148</v>
      </c>
      <c r="C126" s="5" t="s">
        <v>73</v>
      </c>
      <c r="D126" s="44" t="s">
        <v>73</v>
      </c>
      <c r="E126" s="5" t="s">
        <v>2166</v>
      </c>
      <c r="F126" s="49" t="s">
        <v>2169</v>
      </c>
      <c r="G126" s="49"/>
      <c r="H126" s="49"/>
      <c r="I126" s="5"/>
      <c r="J126" s="5"/>
      <c r="K126" s="5">
        <v>44308</v>
      </c>
      <c r="L126" s="3">
        <v>1</v>
      </c>
      <c r="M126" s="49" t="s">
        <v>2228</v>
      </c>
      <c r="N126" s="58">
        <v>150000</v>
      </c>
      <c r="O126" s="4">
        <v>44354</v>
      </c>
      <c r="P126" s="222" t="s">
        <v>2223</v>
      </c>
      <c r="Q126" s="223"/>
      <c r="R126" s="91"/>
      <c r="S126" s="110" t="s">
        <v>72</v>
      </c>
      <c r="T126" s="110" t="s">
        <v>23</v>
      </c>
      <c r="U126" s="113"/>
      <c r="V126" s="1"/>
      <c r="W126" s="1"/>
      <c r="X126" s="1"/>
    </row>
    <row r="127" spans="1:32" x14ac:dyDescent="0.2">
      <c r="A127" s="3" t="s">
        <v>2195</v>
      </c>
      <c r="B127" s="93" t="s">
        <v>2200</v>
      </c>
      <c r="C127" s="5" t="s">
        <v>73</v>
      </c>
      <c r="D127" s="44" t="s">
        <v>73</v>
      </c>
      <c r="E127" s="5" t="s">
        <v>2199</v>
      </c>
      <c r="F127" s="49" t="s">
        <v>2210</v>
      </c>
      <c r="G127" s="49" t="s">
        <v>2206</v>
      </c>
      <c r="H127" s="49"/>
      <c r="I127" s="5"/>
      <c r="J127" s="5"/>
      <c r="K127" s="5" t="s">
        <v>2214</v>
      </c>
      <c r="L127" s="3"/>
      <c r="M127" s="3"/>
      <c r="N127" s="58"/>
      <c r="O127" s="4"/>
      <c r="P127" s="222"/>
      <c r="Q127" s="223"/>
      <c r="R127" s="91"/>
      <c r="S127" s="110" t="s">
        <v>72</v>
      </c>
      <c r="T127" s="110" t="s">
        <v>23</v>
      </c>
      <c r="U127" s="113"/>
      <c r="V127" s="1"/>
      <c r="W127" s="1"/>
      <c r="X127" s="1"/>
    </row>
    <row r="128" spans="1:32" x14ac:dyDescent="0.2">
      <c r="A128" s="112" t="s">
        <v>2197</v>
      </c>
      <c r="B128" s="93" t="s">
        <v>2215</v>
      </c>
      <c r="C128" s="96" t="s">
        <v>73</v>
      </c>
      <c r="D128" s="2" t="s">
        <v>73</v>
      </c>
      <c r="E128" s="4" t="s">
        <v>2221</v>
      </c>
      <c r="F128" s="49" t="s">
        <v>2224</v>
      </c>
      <c r="G128" s="49" t="s">
        <v>2234</v>
      </c>
      <c r="H128" s="49" t="s">
        <v>2256</v>
      </c>
      <c r="I128" s="4"/>
      <c r="J128" s="4"/>
      <c r="K128" s="5">
        <v>44385</v>
      </c>
      <c r="L128" s="3">
        <v>12</v>
      </c>
      <c r="M128" s="3"/>
      <c r="N128" s="58"/>
      <c r="O128" s="4"/>
      <c r="P128" s="222"/>
      <c r="Q128" s="223"/>
      <c r="R128" s="91"/>
      <c r="S128" s="110" t="s">
        <v>72</v>
      </c>
      <c r="T128" s="110" t="s">
        <v>23</v>
      </c>
      <c r="U128" s="113"/>
      <c r="V128" s="1"/>
      <c r="W128" s="1"/>
      <c r="X128" s="1"/>
    </row>
    <row r="129" spans="1:24" x14ac:dyDescent="0.2">
      <c r="A129" s="112" t="s">
        <v>2332</v>
      </c>
      <c r="B129" s="93" t="s">
        <v>2333</v>
      </c>
      <c r="C129" s="96" t="s">
        <v>73</v>
      </c>
      <c r="D129" s="2" t="s">
        <v>73</v>
      </c>
      <c r="E129" s="4" t="s">
        <v>2334</v>
      </c>
      <c r="F129" s="49" t="s">
        <v>2352</v>
      </c>
      <c r="G129" s="49" t="s">
        <v>2349</v>
      </c>
      <c r="H129" s="49" t="s">
        <v>2373</v>
      </c>
      <c r="I129" s="4"/>
      <c r="J129" s="4"/>
      <c r="K129" s="5">
        <v>44448</v>
      </c>
      <c r="L129" s="3">
        <v>5</v>
      </c>
      <c r="M129" s="3"/>
      <c r="N129" s="58"/>
      <c r="O129" s="4"/>
      <c r="P129" s="222"/>
      <c r="Q129" s="223"/>
      <c r="R129" s="91"/>
      <c r="S129" s="110" t="s">
        <v>72</v>
      </c>
      <c r="T129" s="110" t="s">
        <v>23</v>
      </c>
      <c r="U129" s="113"/>
      <c r="V129" s="1"/>
      <c r="W129" s="1"/>
      <c r="X129" s="1"/>
    </row>
    <row r="130" spans="1:24" ht="12" thickBot="1" x14ac:dyDescent="0.25">
      <c r="A130" s="114"/>
      <c r="B130" s="115"/>
      <c r="C130" s="116"/>
      <c r="D130" s="7"/>
      <c r="E130" s="8"/>
      <c r="F130" s="151"/>
      <c r="G130" s="151"/>
      <c r="H130" s="151"/>
      <c r="I130" s="8"/>
      <c r="J130" s="8"/>
      <c r="K130" s="117"/>
      <c r="L130" s="9"/>
      <c r="M130" s="9"/>
      <c r="N130" s="60"/>
      <c r="O130" s="8"/>
      <c r="P130" s="230"/>
      <c r="Q130" s="231"/>
      <c r="R130" s="62"/>
      <c r="S130" s="118" t="s">
        <v>72</v>
      </c>
      <c r="T130" s="118" t="s">
        <v>23</v>
      </c>
      <c r="U130" s="119"/>
      <c r="V130" s="1"/>
      <c r="W130" s="1"/>
      <c r="X130" s="1"/>
    </row>
    <row r="131" spans="1:24" x14ac:dyDescent="0.2">
      <c r="L131" s="1"/>
      <c r="M131" s="1"/>
      <c r="N131" s="1"/>
      <c r="V131" s="1"/>
      <c r="W131" s="1"/>
      <c r="X131" s="1"/>
    </row>
    <row r="132" spans="1:24" x14ac:dyDescent="0.2">
      <c r="K132" s="28" t="s">
        <v>35</v>
      </c>
      <c r="L132" s="1"/>
      <c r="M132" s="24" t="s">
        <v>46</v>
      </c>
      <c r="N132" s="25">
        <f>SUM(N125:N129)</f>
        <v>150000</v>
      </c>
      <c r="V132" s="1"/>
      <c r="W132" s="1"/>
      <c r="X132" s="1"/>
    </row>
    <row r="133" spans="1:24" ht="12.75" x14ac:dyDescent="0.2">
      <c r="A133" s="37" t="s">
        <v>62</v>
      </c>
      <c r="K133" s="11"/>
      <c r="L133" s="1"/>
      <c r="M133" s="1"/>
      <c r="N133" s="71" t="s">
        <v>68</v>
      </c>
      <c r="O133" s="71" t="s">
        <v>69</v>
      </c>
      <c r="V133" s="1"/>
      <c r="W133" s="1"/>
      <c r="X133" s="1"/>
    </row>
    <row r="134" spans="1:24" x14ac:dyDescent="0.2">
      <c r="K134" s="28"/>
      <c r="L134" s="1"/>
      <c r="M134" s="28" t="s">
        <v>22</v>
      </c>
      <c r="N134" s="30">
        <f>SUMIF(T125:T129,"GOODS",$N$125:$N$129)</f>
        <v>0</v>
      </c>
      <c r="O134" s="73">
        <f>COUNTIFS(T124:T129,"GOODS",$N$124:$N$129,"&gt;=1")</f>
        <v>0</v>
      </c>
      <c r="V134" s="1"/>
      <c r="W134" s="1"/>
      <c r="X134" s="1"/>
    </row>
    <row r="135" spans="1:24" x14ac:dyDescent="0.2">
      <c r="K135" s="28"/>
      <c r="L135" s="1"/>
      <c r="M135" s="28" t="s">
        <v>23</v>
      </c>
      <c r="N135" s="30">
        <f>SUMIF(T125:T129,"SERVICES",$N$125:$N$129)</f>
        <v>150000</v>
      </c>
      <c r="O135" s="73">
        <f>COUNTIFS(T124:T129,"SERVICES",$N$124:$N$129,"&gt;=1")</f>
        <v>1</v>
      </c>
      <c r="V135" s="1"/>
      <c r="W135" s="1"/>
      <c r="X135" s="1"/>
    </row>
    <row r="136" spans="1:24" x14ac:dyDescent="0.2">
      <c r="G136" s="28"/>
      <c r="H136" s="28"/>
      <c r="I136" s="28"/>
      <c r="J136" s="28"/>
      <c r="K136" s="30"/>
      <c r="L136" s="1"/>
      <c r="M136" s="28" t="s">
        <v>24</v>
      </c>
      <c r="N136" s="30">
        <f ca="1">SUMIF(T126:T131,"CONSTRUCTION",$N$125:$N$129)</f>
        <v>0</v>
      </c>
      <c r="O136" s="73">
        <f>COUNTIFS(T124:T129,"CONSTRUCTION",$N$124:$N$129,"&gt;=1")</f>
        <v>0</v>
      </c>
      <c r="V136" s="1"/>
      <c r="W136" s="1"/>
      <c r="X136" s="1"/>
    </row>
    <row r="137" spans="1:24" x14ac:dyDescent="0.2">
      <c r="A137" s="10"/>
      <c r="B137" s="14"/>
      <c r="K137" s="11"/>
      <c r="M137" s="6"/>
      <c r="N137" s="74">
        <f ca="1">SUM(N134:N136)</f>
        <v>150000</v>
      </c>
      <c r="O137" s="72">
        <f>SUM(O134:O136)</f>
        <v>1</v>
      </c>
      <c r="P137" s="12"/>
      <c r="Q137" s="12"/>
      <c r="R137" s="12"/>
      <c r="S137" s="14"/>
      <c r="T137" s="14"/>
      <c r="U137" s="14"/>
      <c r="V137" s="1"/>
      <c r="W137" s="1"/>
      <c r="X137" s="1"/>
    </row>
    <row r="138" spans="1:24" ht="15.75" x14ac:dyDescent="0.25">
      <c r="A138" s="88" t="s">
        <v>59</v>
      </c>
      <c r="B138" s="88"/>
      <c r="L138" s="1"/>
      <c r="M138" s="1"/>
      <c r="N138" s="1"/>
      <c r="V138" s="1"/>
      <c r="W138" s="1"/>
      <c r="X138" s="1"/>
    </row>
    <row r="139" spans="1:24" ht="15.75" x14ac:dyDescent="0.25">
      <c r="A139" s="88" t="str">
        <f>A10</f>
        <v>FISCAL YEAR 2020-2021</v>
      </c>
      <c r="B139" s="88"/>
      <c r="L139" s="1"/>
      <c r="M139" s="1"/>
      <c r="N139" s="1"/>
      <c r="V139" s="1"/>
      <c r="W139" s="1"/>
      <c r="X139" s="1"/>
    </row>
    <row r="140" spans="1:24" ht="12" thickBot="1" x14ac:dyDescent="0.25">
      <c r="S140" s="14"/>
      <c r="T140" s="14"/>
      <c r="U140" s="23"/>
      <c r="V140" s="1"/>
      <c r="W140" s="1"/>
      <c r="X140" s="1"/>
    </row>
    <row r="141" spans="1:24" ht="11.85" customHeight="1" x14ac:dyDescent="0.2">
      <c r="A141" s="17"/>
      <c r="B141" s="17"/>
      <c r="C141" s="17"/>
      <c r="D141" s="41"/>
      <c r="E141" s="17"/>
      <c r="F141" s="17"/>
      <c r="G141" s="17"/>
      <c r="H141" s="17"/>
      <c r="I141" s="17"/>
      <c r="J141" s="18"/>
      <c r="K141" s="18" t="s">
        <v>10</v>
      </c>
      <c r="L141" s="18"/>
      <c r="M141" s="18" t="s">
        <v>52</v>
      </c>
      <c r="N141" s="18" t="s">
        <v>47</v>
      </c>
      <c r="O141" s="18" t="s">
        <v>37</v>
      </c>
      <c r="P141" s="17"/>
      <c r="Q141" s="17"/>
      <c r="R141" s="18"/>
      <c r="S141" s="18"/>
      <c r="T141" s="18"/>
      <c r="U141" s="18"/>
      <c r="V141" s="1"/>
      <c r="W141" s="1"/>
      <c r="X141" s="1"/>
    </row>
    <row r="142" spans="1:24" ht="11.85" customHeight="1" x14ac:dyDescent="0.2">
      <c r="A142" s="19" t="s">
        <v>11</v>
      </c>
      <c r="B142" s="19" t="s">
        <v>1</v>
      </c>
      <c r="C142" s="19" t="s">
        <v>11</v>
      </c>
      <c r="D142" s="42" t="s">
        <v>39</v>
      </c>
      <c r="E142" s="19" t="s">
        <v>2</v>
      </c>
      <c r="F142" s="19" t="s">
        <v>11</v>
      </c>
      <c r="G142" s="19" t="s">
        <v>41</v>
      </c>
      <c r="H142" s="19" t="s">
        <v>41</v>
      </c>
      <c r="I142" s="19" t="s">
        <v>41</v>
      </c>
      <c r="J142" s="19" t="s">
        <v>41</v>
      </c>
      <c r="K142" s="19" t="s">
        <v>3</v>
      </c>
      <c r="L142" s="19" t="s">
        <v>51</v>
      </c>
      <c r="M142" s="19" t="s">
        <v>49</v>
      </c>
      <c r="N142" s="19" t="s">
        <v>49</v>
      </c>
      <c r="O142" s="19" t="s">
        <v>38</v>
      </c>
      <c r="P142" s="19" t="s">
        <v>4</v>
      </c>
      <c r="Q142" s="19" t="s">
        <v>4</v>
      </c>
      <c r="R142" s="19" t="s">
        <v>14</v>
      </c>
      <c r="S142" s="19" t="s">
        <v>21</v>
      </c>
      <c r="T142" s="19" t="s">
        <v>26</v>
      </c>
      <c r="U142" s="19" t="s">
        <v>65</v>
      </c>
      <c r="V142" s="1"/>
      <c r="W142" s="1"/>
      <c r="X142" s="1"/>
    </row>
    <row r="143" spans="1:24" ht="11.85" customHeight="1" x14ac:dyDescent="0.2">
      <c r="A143" s="19" t="s">
        <v>5</v>
      </c>
      <c r="B143" s="19"/>
      <c r="C143" s="19" t="s">
        <v>39</v>
      </c>
      <c r="D143" s="42" t="s">
        <v>40</v>
      </c>
      <c r="E143" s="19" t="s">
        <v>7</v>
      </c>
      <c r="F143" s="19" t="s">
        <v>64</v>
      </c>
      <c r="G143" s="19" t="s">
        <v>42</v>
      </c>
      <c r="H143" s="19" t="s">
        <v>43</v>
      </c>
      <c r="I143" s="19" t="s">
        <v>44</v>
      </c>
      <c r="J143" s="19" t="s">
        <v>45</v>
      </c>
      <c r="K143" s="19" t="s">
        <v>6</v>
      </c>
      <c r="L143" s="19" t="s">
        <v>36</v>
      </c>
      <c r="M143" s="19" t="s">
        <v>13</v>
      </c>
      <c r="N143" s="19" t="s">
        <v>13</v>
      </c>
      <c r="O143" s="19" t="s">
        <v>4</v>
      </c>
      <c r="P143" s="19" t="s">
        <v>9</v>
      </c>
      <c r="Q143" s="19" t="s">
        <v>6</v>
      </c>
      <c r="R143" s="19"/>
      <c r="S143" s="19" t="s">
        <v>28</v>
      </c>
      <c r="T143" s="19" t="s">
        <v>27</v>
      </c>
      <c r="U143" s="19"/>
      <c r="V143" s="1"/>
      <c r="W143" s="1"/>
      <c r="X143" s="1"/>
    </row>
    <row r="144" spans="1:24" ht="2.25" customHeight="1" thickBot="1" x14ac:dyDescent="0.25">
      <c r="A144" s="21"/>
      <c r="B144" s="20"/>
      <c r="C144" s="22"/>
      <c r="D144" s="43"/>
      <c r="E144" s="20"/>
      <c r="F144" s="22"/>
      <c r="G144" s="22"/>
      <c r="H144" s="22"/>
      <c r="I144" s="22"/>
      <c r="J144" s="22"/>
      <c r="K144" s="20"/>
      <c r="L144" s="20"/>
      <c r="M144" s="20"/>
      <c r="N144" s="20"/>
      <c r="O144" s="20"/>
      <c r="P144" s="20"/>
      <c r="Q144" s="20"/>
      <c r="R144" s="20"/>
      <c r="S144" s="20"/>
      <c r="T144" s="20"/>
      <c r="U144" s="20"/>
      <c r="V144" s="1"/>
      <c r="W144" s="1"/>
      <c r="X144" s="1"/>
    </row>
    <row r="145" spans="1:34" x14ac:dyDescent="0.2">
      <c r="A145" s="3" t="s">
        <v>79</v>
      </c>
      <c r="B145" s="81" t="s">
        <v>2322</v>
      </c>
      <c r="C145" s="5">
        <v>44341</v>
      </c>
      <c r="D145" s="49" t="s">
        <v>2259</v>
      </c>
      <c r="E145" s="4" t="s">
        <v>2203</v>
      </c>
      <c r="F145" s="49" t="s">
        <v>2219</v>
      </c>
      <c r="G145" s="49" t="s">
        <v>2240</v>
      </c>
      <c r="H145" s="49" t="s">
        <v>2241</v>
      </c>
      <c r="I145" s="49" t="s">
        <v>2242</v>
      </c>
      <c r="J145" s="4"/>
      <c r="K145" s="5">
        <v>44370</v>
      </c>
      <c r="L145" s="49" t="s">
        <v>2260</v>
      </c>
      <c r="M145" s="120">
        <f>3002000+3783018</f>
        <v>6785018</v>
      </c>
      <c r="N145" s="3">
        <v>2</v>
      </c>
      <c r="O145" s="49" t="s">
        <v>2331</v>
      </c>
      <c r="P145" s="61">
        <v>3077000</v>
      </c>
      <c r="Q145" s="4">
        <v>44410</v>
      </c>
      <c r="R145" s="91" t="s">
        <v>2324</v>
      </c>
      <c r="S145" s="110" t="s">
        <v>72</v>
      </c>
      <c r="T145" s="110" t="s">
        <v>24</v>
      </c>
      <c r="U145" s="83"/>
      <c r="W145" s="6"/>
      <c r="X145" s="1"/>
      <c r="Y145" s="6"/>
      <c r="Z145" s="12"/>
      <c r="AA145" s="12"/>
      <c r="AB145" s="12"/>
      <c r="AC145" s="14"/>
      <c r="AD145" s="14"/>
      <c r="AE145" s="14"/>
    </row>
    <row r="146" spans="1:34" ht="12" thickBot="1" x14ac:dyDescent="0.25">
      <c r="A146" s="9"/>
      <c r="B146" s="121"/>
      <c r="C146" s="9"/>
      <c r="D146" s="7"/>
      <c r="E146" s="9"/>
      <c r="F146" s="9"/>
      <c r="G146" s="9"/>
      <c r="H146" s="9"/>
      <c r="I146" s="9"/>
      <c r="J146" s="9"/>
      <c r="K146" s="9"/>
      <c r="L146" s="9"/>
      <c r="M146" s="9"/>
      <c r="N146" s="9"/>
      <c r="O146" s="9"/>
      <c r="P146" s="60"/>
      <c r="Q146" s="8"/>
      <c r="R146" s="62"/>
      <c r="S146" s="9"/>
      <c r="T146" s="9"/>
      <c r="U146" s="54"/>
      <c r="W146" s="6"/>
      <c r="X146" s="1"/>
      <c r="Y146" s="6"/>
      <c r="Z146" s="11"/>
      <c r="AA146" s="11"/>
      <c r="AB146" s="11"/>
      <c r="AC146" s="14"/>
      <c r="AD146" s="14"/>
      <c r="AE146" s="14"/>
    </row>
    <row r="147" spans="1:34" x14ac:dyDescent="0.2">
      <c r="L147" s="1"/>
      <c r="M147" s="1"/>
      <c r="N147" s="1"/>
      <c r="S147" s="6"/>
      <c r="T147" s="6"/>
      <c r="U147" s="14"/>
      <c r="W147" s="6"/>
      <c r="X147" s="1"/>
      <c r="Y147" s="6"/>
      <c r="Z147" s="11"/>
      <c r="AA147" s="11"/>
      <c r="AB147" s="11"/>
      <c r="AC147" s="14"/>
      <c r="AD147" s="14"/>
      <c r="AE147" s="14"/>
    </row>
    <row r="148" spans="1:34" x14ac:dyDescent="0.2">
      <c r="L148" s="28" t="s">
        <v>34</v>
      </c>
      <c r="M148" s="29">
        <f>SUM(M145:M146)</f>
        <v>6785018</v>
      </c>
      <c r="N148" s="1"/>
      <c r="O148" s="24" t="s">
        <v>46</v>
      </c>
      <c r="P148" s="25">
        <f>SUM(P145:P146)</f>
        <v>3077000</v>
      </c>
      <c r="U148" s="14"/>
      <c r="W148" s="6"/>
      <c r="X148" s="1"/>
      <c r="Y148" s="6"/>
      <c r="Z148" s="11"/>
      <c r="AA148" s="11"/>
      <c r="AB148" s="11"/>
      <c r="AC148" s="14"/>
      <c r="AD148" s="14"/>
      <c r="AE148" s="14"/>
    </row>
    <row r="149" spans="1:34" ht="12.75" x14ac:dyDescent="0.2">
      <c r="A149" s="37" t="s">
        <v>62</v>
      </c>
      <c r="L149" s="11"/>
      <c r="M149" s="1"/>
      <c r="N149" s="11"/>
      <c r="O149" s="11"/>
      <c r="P149" s="71" t="s">
        <v>68</v>
      </c>
      <c r="Q149" s="71" t="s">
        <v>69</v>
      </c>
      <c r="U149" s="14"/>
      <c r="W149" s="6"/>
      <c r="X149" s="1"/>
      <c r="Y149" s="6"/>
      <c r="Z149" s="11"/>
      <c r="AA149" s="11"/>
      <c r="AB149" s="11"/>
      <c r="AC149" s="14"/>
      <c r="AD149" s="14"/>
      <c r="AE149" s="14"/>
    </row>
    <row r="150" spans="1:34" x14ac:dyDescent="0.2">
      <c r="L150" s="28"/>
      <c r="M150" s="1"/>
      <c r="N150" s="30"/>
      <c r="O150" s="28" t="s">
        <v>22</v>
      </c>
      <c r="P150" s="30">
        <f>SUMIF(T145:T146,"GOODS",$P$145:$P$146)</f>
        <v>0</v>
      </c>
      <c r="Q150" s="73">
        <f>COUNTIFS(T144:T146,"GOODS",$P$144:$P$146,"&gt;=1")</f>
        <v>0</v>
      </c>
      <c r="V150" s="1"/>
      <c r="W150" s="1"/>
      <c r="Y150" s="14"/>
      <c r="Z150" s="6"/>
      <c r="AB150" s="6"/>
      <c r="AC150" s="11"/>
      <c r="AD150" s="11"/>
      <c r="AE150" s="11"/>
      <c r="AF150" s="14"/>
      <c r="AG150" s="14"/>
      <c r="AH150" s="14"/>
    </row>
    <row r="151" spans="1:34" x14ac:dyDescent="0.2">
      <c r="L151" s="28"/>
      <c r="M151" s="1"/>
      <c r="N151" s="30"/>
      <c r="O151" s="28" t="s">
        <v>23</v>
      </c>
      <c r="P151" s="30">
        <f>SUMIF(T145:T146,"SERVICES",$P$145:$P$146)</f>
        <v>0</v>
      </c>
      <c r="Q151" s="73">
        <f>COUNTIFS(T144:T146,"SERVICES",$P$144:$P$146,"&gt;=1")</f>
        <v>0</v>
      </c>
      <c r="V151" s="1"/>
      <c r="W151" s="1"/>
      <c r="Y151" s="14"/>
      <c r="Z151" s="6"/>
      <c r="AB151" s="6"/>
      <c r="AC151" s="11"/>
      <c r="AD151" s="11"/>
      <c r="AE151" s="11"/>
      <c r="AF151" s="14"/>
      <c r="AG151" s="14"/>
      <c r="AH151" s="14"/>
    </row>
    <row r="152" spans="1:34" x14ac:dyDescent="0.2">
      <c r="L152" s="28"/>
      <c r="M152" s="1"/>
      <c r="N152" s="30"/>
      <c r="O152" s="28" t="s">
        <v>24</v>
      </c>
      <c r="P152" s="30">
        <f>SUMIF(T145:T146,"CONSTRUCTION",$P$145:$P$146)</f>
        <v>3077000</v>
      </c>
      <c r="Q152" s="73">
        <f>COUNTIFS(T144:T146,"CONSTRUCTION",$P$144:$P$146,"&gt;=1")</f>
        <v>1</v>
      </c>
      <c r="V152" s="1"/>
      <c r="W152" s="1"/>
      <c r="Y152" s="14"/>
      <c r="Z152" s="6"/>
      <c r="AB152" s="6"/>
      <c r="AC152" s="11"/>
      <c r="AD152" s="11"/>
      <c r="AE152" s="11"/>
      <c r="AF152" s="14"/>
      <c r="AG152" s="14"/>
      <c r="AH152" s="14"/>
    </row>
    <row r="153" spans="1:34" x14ac:dyDescent="0.2">
      <c r="L153" s="1"/>
      <c r="M153" s="1"/>
      <c r="N153" s="1"/>
      <c r="P153" s="74">
        <f>SUM(P150:P152)</f>
        <v>3077000</v>
      </c>
      <c r="Q153" s="72">
        <f>SUM(Q150:Q152)</f>
        <v>1</v>
      </c>
      <c r="V153" s="1"/>
      <c r="W153" s="1"/>
      <c r="Y153" s="14"/>
      <c r="Z153" s="6"/>
      <c r="AB153" s="6"/>
      <c r="AC153" s="11"/>
      <c r="AD153" s="11"/>
      <c r="AE153" s="11"/>
      <c r="AF153" s="14"/>
      <c r="AG153" s="14"/>
      <c r="AH153" s="14"/>
    </row>
    <row r="154" spans="1:34" ht="15.75" x14ac:dyDescent="0.25">
      <c r="A154" s="88" t="s">
        <v>30</v>
      </c>
      <c r="B154" s="88"/>
      <c r="L154" s="1"/>
      <c r="M154" s="1"/>
      <c r="N154" s="1"/>
      <c r="V154" s="1"/>
      <c r="W154" s="1"/>
      <c r="X154" s="1"/>
    </row>
    <row r="155" spans="1:34" ht="15.75" x14ac:dyDescent="0.25">
      <c r="A155" s="88" t="str">
        <f>A10</f>
        <v>FISCAL YEAR 2020-2021</v>
      </c>
      <c r="B155" s="88"/>
      <c r="L155" s="1"/>
      <c r="M155" s="1"/>
      <c r="N155" s="1"/>
      <c r="V155" s="1"/>
      <c r="W155" s="1"/>
      <c r="X155" s="1"/>
    </row>
    <row r="156" spans="1:34" ht="12" thickBot="1" x14ac:dyDescent="0.25">
      <c r="M156" s="1"/>
      <c r="N156" s="1"/>
      <c r="R156" s="14"/>
      <c r="S156" s="14"/>
      <c r="T156" s="23"/>
      <c r="V156" s="1"/>
      <c r="W156" s="1"/>
      <c r="X156" s="1"/>
    </row>
    <row r="157" spans="1:34" ht="11.85" customHeight="1" x14ac:dyDescent="0.2">
      <c r="A157" s="17"/>
      <c r="B157" s="17"/>
      <c r="C157" s="17"/>
      <c r="D157" s="41"/>
      <c r="E157" s="17"/>
      <c r="F157" s="17"/>
      <c r="G157" s="17"/>
      <c r="H157" s="17"/>
      <c r="I157" s="17"/>
      <c r="J157" s="18"/>
      <c r="K157" s="18" t="s">
        <v>10</v>
      </c>
      <c r="L157" s="18" t="s">
        <v>47</v>
      </c>
      <c r="M157" s="18" t="s">
        <v>37</v>
      </c>
      <c r="N157" s="17"/>
      <c r="O157" s="17"/>
      <c r="P157" s="210"/>
      <c r="Q157" s="211"/>
      <c r="R157" s="18"/>
      <c r="S157" s="18"/>
      <c r="T157" s="18"/>
      <c r="V157" s="1"/>
      <c r="W157" s="1"/>
      <c r="X157" s="1"/>
    </row>
    <row r="158" spans="1:34" ht="11.85" customHeight="1" x14ac:dyDescent="0.2">
      <c r="A158" s="19" t="s">
        <v>12</v>
      </c>
      <c r="B158" s="19" t="s">
        <v>1</v>
      </c>
      <c r="C158" s="19" t="s">
        <v>71</v>
      </c>
      <c r="D158" s="42" t="s">
        <v>39</v>
      </c>
      <c r="E158" s="19" t="s">
        <v>2</v>
      </c>
      <c r="F158" s="19" t="s">
        <v>71</v>
      </c>
      <c r="G158" s="19" t="s">
        <v>41</v>
      </c>
      <c r="H158" s="19" t="s">
        <v>41</v>
      </c>
      <c r="I158" s="19" t="s">
        <v>41</v>
      </c>
      <c r="J158" s="19" t="s">
        <v>41</v>
      </c>
      <c r="K158" s="19" t="s">
        <v>3</v>
      </c>
      <c r="L158" s="19" t="s">
        <v>48</v>
      </c>
      <c r="M158" s="19" t="s">
        <v>38</v>
      </c>
      <c r="N158" s="19" t="s">
        <v>4</v>
      </c>
      <c r="O158" s="19" t="s">
        <v>4</v>
      </c>
      <c r="P158" s="212" t="s">
        <v>14</v>
      </c>
      <c r="Q158" s="213"/>
      <c r="R158" s="19" t="s">
        <v>21</v>
      </c>
      <c r="S158" s="19" t="s">
        <v>26</v>
      </c>
      <c r="T158" s="19" t="s">
        <v>65</v>
      </c>
      <c r="V158" s="1"/>
      <c r="W158" s="1"/>
      <c r="X158" s="1"/>
    </row>
    <row r="159" spans="1:34" ht="11.85" customHeight="1" x14ac:dyDescent="0.2">
      <c r="A159" s="19" t="s">
        <v>5</v>
      </c>
      <c r="B159" s="19"/>
      <c r="C159" s="19" t="s">
        <v>39</v>
      </c>
      <c r="D159" s="42" t="s">
        <v>40</v>
      </c>
      <c r="E159" s="19" t="s">
        <v>7</v>
      </c>
      <c r="F159" s="19" t="s">
        <v>64</v>
      </c>
      <c r="G159" s="19" t="s">
        <v>42</v>
      </c>
      <c r="H159" s="19" t="s">
        <v>43</v>
      </c>
      <c r="I159" s="19" t="s">
        <v>44</v>
      </c>
      <c r="J159" s="19" t="s">
        <v>45</v>
      </c>
      <c r="K159" s="19" t="s">
        <v>6</v>
      </c>
      <c r="L159" s="19" t="s">
        <v>13</v>
      </c>
      <c r="M159" s="19" t="s">
        <v>4</v>
      </c>
      <c r="N159" s="19" t="s">
        <v>9</v>
      </c>
      <c r="O159" s="19" t="s">
        <v>6</v>
      </c>
      <c r="P159" s="212"/>
      <c r="Q159" s="213"/>
      <c r="R159" s="19" t="s">
        <v>28</v>
      </c>
      <c r="S159" s="19" t="s">
        <v>27</v>
      </c>
      <c r="T159" s="19"/>
      <c r="V159" s="1"/>
      <c r="W159" s="1"/>
      <c r="X159" s="1"/>
    </row>
    <row r="160" spans="1:34" ht="2.25" customHeight="1" thickBot="1" x14ac:dyDescent="0.25">
      <c r="A160" s="21"/>
      <c r="B160" s="20"/>
      <c r="C160" s="22"/>
      <c r="D160" s="43"/>
      <c r="E160" s="20"/>
      <c r="F160" s="22"/>
      <c r="G160" s="22"/>
      <c r="H160" s="22"/>
      <c r="I160" s="22"/>
      <c r="J160" s="22"/>
      <c r="K160" s="20"/>
      <c r="L160" s="20"/>
      <c r="M160" s="20"/>
      <c r="N160" s="20"/>
      <c r="O160" s="20"/>
      <c r="P160" s="214"/>
      <c r="Q160" s="215"/>
      <c r="R160" s="20"/>
      <c r="S160" s="20"/>
      <c r="T160" s="20"/>
      <c r="V160" s="1"/>
      <c r="W160" s="1"/>
      <c r="X160" s="1"/>
    </row>
    <row r="161" spans="1:30" ht="22.5" x14ac:dyDescent="0.2">
      <c r="A161" s="122" t="s">
        <v>78</v>
      </c>
      <c r="B161" s="93" t="s">
        <v>2286</v>
      </c>
      <c r="C161" s="4">
        <v>44391</v>
      </c>
      <c r="D161" s="49" t="s">
        <v>2308</v>
      </c>
      <c r="E161" s="123" t="s">
        <v>2296</v>
      </c>
      <c r="F161" s="49" t="s">
        <v>2306</v>
      </c>
      <c r="G161" s="49" t="s">
        <v>2316</v>
      </c>
      <c r="H161" s="49" t="s">
        <v>2326</v>
      </c>
      <c r="I161" s="4"/>
      <c r="J161" s="4"/>
      <c r="K161" s="5">
        <v>44417</v>
      </c>
      <c r="L161" s="3">
        <v>2</v>
      </c>
      <c r="M161" s="33" t="s">
        <v>86</v>
      </c>
      <c r="N161" s="124"/>
      <c r="O161" s="4"/>
      <c r="P161" s="228"/>
      <c r="Q161" s="229"/>
      <c r="R161" s="110" t="s">
        <v>72</v>
      </c>
      <c r="S161" s="110" t="s">
        <v>23</v>
      </c>
      <c r="T161" s="55"/>
      <c r="U161" s="14"/>
      <c r="V161" s="6"/>
      <c r="W161" s="1"/>
      <c r="X161" s="6"/>
      <c r="Y161" s="12"/>
      <c r="Z161" s="12"/>
      <c r="AA161" s="12"/>
      <c r="AB161" s="14"/>
      <c r="AC161" s="14"/>
      <c r="AD161" s="14"/>
    </row>
    <row r="162" spans="1:30" ht="12.75" x14ac:dyDescent="0.2">
      <c r="A162" s="122" t="s">
        <v>2357</v>
      </c>
      <c r="B162" s="93" t="s">
        <v>2360</v>
      </c>
      <c r="C162" s="4">
        <v>44438</v>
      </c>
      <c r="D162" s="49" t="s">
        <v>2376</v>
      </c>
      <c r="E162" s="123" t="s">
        <v>2366</v>
      </c>
      <c r="F162" s="49" t="s">
        <v>2384</v>
      </c>
      <c r="G162" s="49" t="s">
        <v>2407</v>
      </c>
      <c r="H162" s="49"/>
      <c r="I162" s="4"/>
      <c r="J162" s="4"/>
      <c r="K162" s="5">
        <v>44469</v>
      </c>
      <c r="L162" s="3">
        <v>4</v>
      </c>
      <c r="M162" s="33" t="s">
        <v>86</v>
      </c>
      <c r="N162" s="124"/>
      <c r="O162" s="4"/>
      <c r="P162" s="222"/>
      <c r="Q162" s="238"/>
      <c r="R162" s="110" t="s">
        <v>72</v>
      </c>
      <c r="S162" s="110" t="s">
        <v>23</v>
      </c>
      <c r="T162" s="52"/>
      <c r="U162" s="14"/>
      <c r="V162" s="6"/>
      <c r="W162" s="1"/>
      <c r="X162" s="6"/>
      <c r="Y162" s="12"/>
      <c r="Z162" s="12"/>
      <c r="AA162" s="12"/>
      <c r="AB162" s="14"/>
      <c r="AC162" s="14"/>
      <c r="AD162" s="14"/>
    </row>
    <row r="163" spans="1:30" ht="22.5" x14ac:dyDescent="0.2">
      <c r="A163" s="122" t="s">
        <v>2359</v>
      </c>
      <c r="B163" s="93" t="s">
        <v>2361</v>
      </c>
      <c r="C163" s="4">
        <v>44438</v>
      </c>
      <c r="D163" s="49" t="s">
        <v>2377</v>
      </c>
      <c r="E163" s="123" t="s">
        <v>2366</v>
      </c>
      <c r="F163" s="49" t="s">
        <v>2385</v>
      </c>
      <c r="G163" s="49" t="s">
        <v>2408</v>
      </c>
      <c r="H163" s="49"/>
      <c r="I163" s="4"/>
      <c r="J163" s="4"/>
      <c r="K163" s="5">
        <v>44469</v>
      </c>
      <c r="L163" s="3">
        <v>10</v>
      </c>
      <c r="M163" s="33" t="s">
        <v>86</v>
      </c>
      <c r="N163" s="124"/>
      <c r="O163" s="4"/>
      <c r="P163" s="222"/>
      <c r="Q163" s="238"/>
      <c r="R163" s="110" t="s">
        <v>72</v>
      </c>
      <c r="S163" s="110" t="s">
        <v>23</v>
      </c>
      <c r="T163" s="52"/>
      <c r="U163" s="14"/>
      <c r="V163" s="6"/>
      <c r="W163" s="1"/>
      <c r="X163" s="6"/>
      <c r="Y163" s="12"/>
      <c r="Z163" s="12"/>
      <c r="AA163" s="12"/>
      <c r="AB163" s="14"/>
      <c r="AC163" s="14"/>
      <c r="AD163" s="14"/>
    </row>
    <row r="164" spans="1:30" ht="12" thickBot="1" x14ac:dyDescent="0.25">
      <c r="A164" s="9"/>
      <c r="B164" s="121"/>
      <c r="C164" s="9"/>
      <c r="D164" s="7"/>
      <c r="E164" s="9"/>
      <c r="F164" s="9"/>
      <c r="G164" s="9"/>
      <c r="H164" s="9"/>
      <c r="I164" s="9"/>
      <c r="J164" s="9"/>
      <c r="K164" s="9"/>
      <c r="L164" s="9"/>
      <c r="M164" s="9"/>
      <c r="N164" s="9"/>
      <c r="O164" s="8"/>
      <c r="P164" s="230"/>
      <c r="Q164" s="231"/>
      <c r="R164" s="9"/>
      <c r="S164" s="9"/>
      <c r="T164" s="54"/>
      <c r="U164" s="14"/>
      <c r="V164" s="6"/>
      <c r="W164" s="1"/>
      <c r="X164" s="6"/>
      <c r="Y164" s="11"/>
      <c r="Z164" s="11"/>
      <c r="AA164" s="11"/>
      <c r="AB164" s="14"/>
      <c r="AC164" s="14"/>
      <c r="AD164" s="14"/>
    </row>
    <row r="165" spans="1:30" x14ac:dyDescent="0.2">
      <c r="L165" s="1"/>
      <c r="M165" s="1"/>
      <c r="N165" s="1"/>
      <c r="R165" s="6"/>
      <c r="S165" s="6"/>
      <c r="T165" s="14"/>
      <c r="U165" s="14"/>
      <c r="V165" s="6"/>
      <c r="W165" s="1"/>
      <c r="X165" s="6"/>
      <c r="Y165" s="11"/>
      <c r="Z165" s="11"/>
      <c r="AA165" s="11"/>
      <c r="AB165" s="14"/>
      <c r="AC165" s="14"/>
      <c r="AD165" s="14"/>
    </row>
    <row r="166" spans="1:30" x14ac:dyDescent="0.2">
      <c r="L166" s="1"/>
      <c r="M166" s="24" t="s">
        <v>46</v>
      </c>
      <c r="N166" s="25">
        <f>SUM(N161:N164)</f>
        <v>0</v>
      </c>
      <c r="T166" s="14"/>
      <c r="U166" s="14"/>
      <c r="V166" s="6"/>
      <c r="W166" s="1"/>
      <c r="X166" s="6"/>
      <c r="Y166" s="11"/>
      <c r="Z166" s="11"/>
      <c r="AA166" s="11"/>
      <c r="AB166" s="14"/>
      <c r="AC166" s="14"/>
      <c r="AD166" s="14"/>
    </row>
    <row r="167" spans="1:30" ht="12.75" x14ac:dyDescent="0.2">
      <c r="A167" s="37" t="s">
        <v>62</v>
      </c>
      <c r="L167" s="11"/>
      <c r="M167" s="11"/>
      <c r="N167" s="71" t="s">
        <v>68</v>
      </c>
      <c r="O167" s="71" t="s">
        <v>69</v>
      </c>
      <c r="T167" s="14"/>
      <c r="U167" s="14"/>
      <c r="V167" s="6"/>
      <c r="W167" s="1"/>
      <c r="X167" s="6"/>
      <c r="Y167" s="11"/>
      <c r="Z167" s="11"/>
      <c r="AA167" s="11"/>
      <c r="AB167" s="14"/>
      <c r="AC167" s="14"/>
      <c r="AD167" s="14"/>
    </row>
    <row r="168" spans="1:30" x14ac:dyDescent="0.2">
      <c r="L168" s="30"/>
      <c r="M168" s="28" t="s">
        <v>22</v>
      </c>
      <c r="N168" s="30">
        <f>SUMIF(S161:S164,"GOODS",$N$161:$N$164)</f>
        <v>0</v>
      </c>
      <c r="O168" s="73">
        <f>COUNTIFS(S160:S164,"GOODS",$N$160:$N$164,"&gt;=1")</f>
        <v>0</v>
      </c>
      <c r="T168" s="14"/>
      <c r="U168" s="14"/>
      <c r="V168" s="6"/>
      <c r="W168" s="1"/>
      <c r="X168" s="6"/>
      <c r="Y168" s="11"/>
      <c r="Z168" s="11"/>
      <c r="AA168" s="11"/>
      <c r="AB168" s="14"/>
      <c r="AC168" s="14"/>
      <c r="AD168" s="14"/>
    </row>
    <row r="169" spans="1:30" x14ac:dyDescent="0.2">
      <c r="L169" s="30"/>
      <c r="M169" s="28" t="s">
        <v>23</v>
      </c>
      <c r="N169" s="30">
        <f>SUMIF(S161:S164,"SERVICES",$N$161:$N$164)</f>
        <v>0</v>
      </c>
      <c r="O169" s="73">
        <f>COUNTIFS(S160:S164,"SERVICES",$N$160:$N$164,"&gt;=1")</f>
        <v>0</v>
      </c>
      <c r="T169" s="14"/>
      <c r="U169" s="14"/>
      <c r="V169" s="6"/>
      <c r="W169" s="1"/>
      <c r="X169" s="6"/>
      <c r="Y169" s="11"/>
      <c r="Z169" s="11"/>
      <c r="AA169" s="11"/>
      <c r="AB169" s="14"/>
      <c r="AC169" s="14"/>
      <c r="AD169" s="14"/>
    </row>
    <row r="170" spans="1:30" x14ac:dyDescent="0.2">
      <c r="L170" s="30"/>
      <c r="M170" s="28" t="s">
        <v>24</v>
      </c>
      <c r="N170" s="30">
        <f>SUMIF(S161:S164,"CONSTRUCTION",$N$161:$N$164)</f>
        <v>0</v>
      </c>
      <c r="O170" s="73">
        <f>COUNTIFS(S160:S164,"CONSTRUCTION",$N$160:$N$164,"&gt;=1")</f>
        <v>0</v>
      </c>
      <c r="T170" s="14"/>
      <c r="U170" s="14"/>
      <c r="V170" s="6"/>
      <c r="W170" s="1"/>
      <c r="X170" s="6"/>
      <c r="Y170" s="11"/>
      <c r="Z170" s="11"/>
      <c r="AA170" s="11"/>
      <c r="AB170" s="14"/>
      <c r="AC170" s="14"/>
      <c r="AD170" s="14"/>
    </row>
    <row r="171" spans="1:30" x14ac:dyDescent="0.2">
      <c r="A171" s="10"/>
      <c r="B171" s="14"/>
      <c r="K171" s="11"/>
      <c r="M171" s="1"/>
      <c r="N171" s="74">
        <f>SUM(N168:N170)</f>
        <v>0</v>
      </c>
      <c r="O171" s="72">
        <f>SUM(O168:O170)</f>
        <v>0</v>
      </c>
      <c r="P171" s="11"/>
      <c r="Q171" s="11"/>
      <c r="R171" s="14"/>
      <c r="S171" s="14"/>
      <c r="T171" s="14"/>
      <c r="V171" s="1"/>
      <c r="W171" s="1"/>
      <c r="X171" s="1"/>
    </row>
    <row r="172" spans="1:30" ht="15.75" x14ac:dyDescent="0.25">
      <c r="A172" s="88" t="s">
        <v>29</v>
      </c>
      <c r="B172" s="88"/>
      <c r="L172" s="1"/>
      <c r="M172" s="1"/>
      <c r="N172" s="1"/>
      <c r="V172" s="1"/>
      <c r="W172" s="1"/>
      <c r="X172" s="1"/>
    </row>
    <row r="173" spans="1:30" ht="15.75" x14ac:dyDescent="0.25">
      <c r="A173" s="88" t="str">
        <f>A10</f>
        <v>FISCAL YEAR 2020-2021</v>
      </c>
      <c r="B173" s="88"/>
      <c r="L173" s="1"/>
      <c r="M173" s="1"/>
      <c r="N173" s="1"/>
      <c r="V173" s="1"/>
      <c r="W173" s="1"/>
      <c r="X173" s="1"/>
    </row>
    <row r="174" spans="1:30" ht="12" thickBot="1" x14ac:dyDescent="0.25">
      <c r="J174" s="14"/>
      <c r="K174" s="14"/>
      <c r="M174" s="23"/>
      <c r="N174" s="1"/>
      <c r="V174" s="1"/>
      <c r="W174" s="1"/>
      <c r="X174" s="1"/>
    </row>
    <row r="175" spans="1:30" ht="11.85" customHeight="1" x14ac:dyDescent="0.2">
      <c r="A175" s="17"/>
      <c r="B175" s="17"/>
      <c r="C175" s="17"/>
      <c r="D175" s="41"/>
      <c r="E175" s="17"/>
      <c r="F175" s="17"/>
      <c r="G175" s="17"/>
      <c r="H175" s="17"/>
      <c r="I175" s="18" t="s">
        <v>10</v>
      </c>
      <c r="J175" s="18" t="s">
        <v>47</v>
      </c>
      <c r="K175" s="18"/>
      <c r="L175" s="18"/>
      <c r="M175" s="210"/>
      <c r="N175" s="211"/>
      <c r="V175" s="1"/>
      <c r="W175" s="1"/>
      <c r="X175" s="1"/>
    </row>
    <row r="176" spans="1:30" ht="11.85" customHeight="1" x14ac:dyDescent="0.2">
      <c r="A176" s="19" t="s">
        <v>18</v>
      </c>
      <c r="B176" s="19" t="s">
        <v>1</v>
      </c>
      <c r="C176" s="19" t="s">
        <v>18</v>
      </c>
      <c r="D176" s="42" t="s">
        <v>39</v>
      </c>
      <c r="E176" s="19" t="s">
        <v>2</v>
      </c>
      <c r="F176" s="19" t="s">
        <v>18</v>
      </c>
      <c r="G176" s="19" t="s">
        <v>41</v>
      </c>
      <c r="H176" s="19" t="s">
        <v>41</v>
      </c>
      <c r="I176" s="19" t="s">
        <v>3</v>
      </c>
      <c r="J176" s="19" t="s">
        <v>48</v>
      </c>
      <c r="K176" s="19" t="s">
        <v>21</v>
      </c>
      <c r="L176" s="19" t="s">
        <v>26</v>
      </c>
      <c r="M176" s="212" t="s">
        <v>65</v>
      </c>
      <c r="N176" s="213"/>
      <c r="V176" s="1"/>
      <c r="W176" s="1"/>
      <c r="X176" s="1"/>
    </row>
    <row r="177" spans="1:24" ht="11.85" customHeight="1" x14ac:dyDescent="0.2">
      <c r="A177" s="19" t="s">
        <v>5</v>
      </c>
      <c r="B177" s="19"/>
      <c r="C177" s="19" t="s">
        <v>39</v>
      </c>
      <c r="D177" s="42" t="s">
        <v>40</v>
      </c>
      <c r="E177" s="19" t="s">
        <v>7</v>
      </c>
      <c r="F177" s="19" t="s">
        <v>64</v>
      </c>
      <c r="G177" s="19" t="s">
        <v>42</v>
      </c>
      <c r="H177" s="19" t="s">
        <v>43</v>
      </c>
      <c r="I177" s="19" t="s">
        <v>6</v>
      </c>
      <c r="J177" s="19" t="s">
        <v>13</v>
      </c>
      <c r="K177" s="19" t="s">
        <v>28</v>
      </c>
      <c r="L177" s="19" t="s">
        <v>27</v>
      </c>
      <c r="M177" s="212"/>
      <c r="N177" s="213"/>
      <c r="V177" s="1"/>
      <c r="W177" s="1"/>
      <c r="X177" s="1"/>
    </row>
    <row r="178" spans="1:24" ht="2.25" customHeight="1" thickBot="1" x14ac:dyDescent="0.25">
      <c r="A178" s="21"/>
      <c r="B178" s="20"/>
      <c r="C178" s="22"/>
      <c r="D178" s="43"/>
      <c r="E178" s="20"/>
      <c r="F178" s="22"/>
      <c r="G178" s="22"/>
      <c r="H178" s="22"/>
      <c r="I178" s="20"/>
      <c r="J178" s="20"/>
      <c r="K178" s="20"/>
      <c r="L178" s="20"/>
      <c r="M178" s="214"/>
      <c r="N178" s="215"/>
      <c r="V178" s="1"/>
      <c r="W178" s="1"/>
      <c r="X178" s="1"/>
    </row>
    <row r="179" spans="1:24" ht="13.35" customHeight="1" x14ac:dyDescent="0.2">
      <c r="A179" s="122" t="s">
        <v>77</v>
      </c>
      <c r="B179" s="93"/>
      <c r="C179" s="96"/>
      <c r="D179" s="2"/>
      <c r="E179" s="96"/>
      <c r="F179" s="47"/>
      <c r="G179" s="47"/>
      <c r="H179" s="96"/>
      <c r="I179" s="96"/>
      <c r="J179" s="96"/>
      <c r="K179" s="110"/>
      <c r="L179" s="110"/>
      <c r="M179" s="232"/>
      <c r="N179" s="233"/>
      <c r="O179" s="6"/>
      <c r="Q179" s="6"/>
      <c r="R179" s="12"/>
      <c r="S179" s="12"/>
      <c r="T179" s="12"/>
      <c r="U179" s="14"/>
      <c r="X179" s="1"/>
    </row>
    <row r="180" spans="1:24" ht="14.1" customHeight="1" thickBot="1" x14ac:dyDescent="0.25">
      <c r="A180" s="9"/>
      <c r="B180" s="121"/>
      <c r="C180" s="9"/>
      <c r="D180" s="7"/>
      <c r="E180" s="9"/>
      <c r="F180" s="9"/>
      <c r="G180" s="9"/>
      <c r="H180" s="9"/>
      <c r="I180" s="9"/>
      <c r="J180" s="9"/>
      <c r="K180" s="9"/>
      <c r="L180" s="9"/>
      <c r="M180" s="234"/>
      <c r="N180" s="235"/>
      <c r="O180" s="6"/>
      <c r="Q180" s="6"/>
      <c r="R180" s="11"/>
      <c r="S180" s="11"/>
      <c r="T180" s="11"/>
      <c r="U180" s="14"/>
      <c r="X180" s="1"/>
    </row>
    <row r="181" spans="1:24" x14ac:dyDescent="0.2">
      <c r="K181" s="6"/>
      <c r="L181" s="6"/>
      <c r="O181" s="6"/>
      <c r="Q181" s="6"/>
      <c r="R181" s="11"/>
      <c r="S181" s="11"/>
      <c r="T181" s="11"/>
      <c r="U181" s="14"/>
      <c r="X181" s="1"/>
    </row>
    <row r="182" spans="1:24" x14ac:dyDescent="0.2">
      <c r="A182" s="10"/>
      <c r="B182" s="14"/>
      <c r="I182" s="11"/>
      <c r="J182" s="14"/>
      <c r="K182" s="14"/>
      <c r="N182" s="1"/>
      <c r="V182" s="1"/>
      <c r="W182" s="1"/>
      <c r="X182" s="1"/>
    </row>
    <row r="183" spans="1:24" ht="12.75" x14ac:dyDescent="0.2">
      <c r="A183" s="38" t="s">
        <v>62</v>
      </c>
      <c r="B183" s="14"/>
      <c r="J183" s="14"/>
      <c r="K183" s="14"/>
      <c r="O183" s="14"/>
      <c r="V183" s="1"/>
      <c r="W183" s="1"/>
      <c r="X183" s="1"/>
    </row>
    <row r="184" spans="1:24" x14ac:dyDescent="0.2">
      <c r="A184" s="10"/>
      <c r="B184" s="14"/>
      <c r="K184" s="11"/>
      <c r="O184" s="14"/>
      <c r="P184" s="14"/>
      <c r="Q184" s="14"/>
      <c r="V184" s="1"/>
      <c r="W184" s="1"/>
      <c r="X184" s="1"/>
    </row>
    <row r="185" spans="1:24" x14ac:dyDescent="0.2">
      <c r="A185" s="10"/>
      <c r="B185" s="14"/>
      <c r="K185" s="11"/>
      <c r="O185" s="14"/>
      <c r="P185" s="14"/>
      <c r="Q185" s="14"/>
      <c r="V185" s="1"/>
      <c r="W185" s="1"/>
      <c r="X185" s="1"/>
    </row>
    <row r="186" spans="1:24" x14ac:dyDescent="0.2">
      <c r="A186" s="10" t="s">
        <v>67</v>
      </c>
      <c r="B186" s="14"/>
      <c r="K186" s="11"/>
      <c r="R186" s="11"/>
      <c r="S186" s="11"/>
      <c r="T186" s="11"/>
      <c r="U186" s="11"/>
    </row>
    <row r="187" spans="1:24" x14ac:dyDescent="0.2">
      <c r="A187" s="10"/>
      <c r="B187" s="14"/>
      <c r="K187" s="11"/>
      <c r="R187" s="11"/>
      <c r="S187" s="11"/>
      <c r="T187" s="11"/>
      <c r="U187" s="11"/>
    </row>
    <row r="188" spans="1:24" ht="15" customHeight="1" x14ac:dyDescent="0.2">
      <c r="A188" s="236" t="s">
        <v>66</v>
      </c>
      <c r="B188" s="237"/>
      <c r="C188" s="237"/>
      <c r="D188" s="237"/>
      <c r="E188" s="237"/>
      <c r="F188" s="237"/>
      <c r="G188" s="237"/>
      <c r="H188" s="237"/>
      <c r="I188" s="237"/>
      <c r="J188" s="237"/>
      <c r="K188" s="237"/>
      <c r="L188" s="237"/>
      <c r="R188" s="11"/>
      <c r="S188" s="11"/>
      <c r="T188" s="11"/>
      <c r="U188" s="11"/>
    </row>
    <row r="189" spans="1:24" ht="15" customHeight="1" x14ac:dyDescent="0.2">
      <c r="A189" s="237"/>
      <c r="B189" s="237"/>
      <c r="C189" s="237"/>
      <c r="D189" s="237"/>
      <c r="E189" s="237"/>
      <c r="F189" s="237"/>
      <c r="G189" s="237"/>
      <c r="H189" s="237"/>
      <c r="I189" s="237"/>
      <c r="J189" s="237"/>
      <c r="K189" s="237"/>
      <c r="L189" s="237"/>
      <c r="R189" s="11"/>
      <c r="S189" s="11"/>
      <c r="T189" s="11"/>
      <c r="U189" s="11"/>
    </row>
    <row r="190" spans="1:24" ht="14.25" customHeight="1" x14ac:dyDescent="0.2">
      <c r="A190" s="237"/>
      <c r="B190" s="237"/>
      <c r="C190" s="237"/>
      <c r="D190" s="237"/>
      <c r="E190" s="237"/>
      <c r="F190" s="237"/>
      <c r="G190" s="237"/>
      <c r="H190" s="237"/>
      <c r="I190" s="237"/>
      <c r="J190" s="237"/>
      <c r="K190" s="237"/>
      <c r="L190" s="237"/>
      <c r="R190" s="11"/>
      <c r="S190" s="11"/>
      <c r="T190" s="11"/>
      <c r="U190" s="11"/>
    </row>
    <row r="191" spans="1:24" ht="14.25" customHeight="1" x14ac:dyDescent="0.2">
      <c r="A191" s="237"/>
      <c r="B191" s="237"/>
      <c r="C191" s="237"/>
      <c r="D191" s="237"/>
      <c r="E191" s="237"/>
      <c r="F191" s="237"/>
      <c r="G191" s="237"/>
      <c r="H191" s="237"/>
      <c r="I191" s="237"/>
      <c r="J191" s="237"/>
      <c r="K191" s="237"/>
      <c r="L191" s="237"/>
      <c r="R191" s="11"/>
      <c r="S191" s="11"/>
      <c r="T191" s="11"/>
      <c r="U191" s="11"/>
    </row>
    <row r="192" spans="1:24" x14ac:dyDescent="0.2">
      <c r="A192" s="10"/>
      <c r="B192" s="14"/>
      <c r="K192" s="11"/>
      <c r="R192" s="11"/>
      <c r="S192" s="11"/>
      <c r="T192" s="11"/>
      <c r="U192" s="11"/>
    </row>
    <row r="193" spans="1:21" x14ac:dyDescent="0.2">
      <c r="A193" s="10"/>
      <c r="B193" s="14"/>
      <c r="K193" s="11"/>
      <c r="R193" s="11"/>
      <c r="S193" s="11"/>
      <c r="T193" s="11"/>
      <c r="U193" s="11"/>
    </row>
    <row r="194" spans="1:21" x14ac:dyDescent="0.2">
      <c r="A194" s="10"/>
      <c r="B194" s="14"/>
      <c r="K194" s="11"/>
      <c r="R194" s="11"/>
      <c r="S194" s="11"/>
      <c r="T194" s="11"/>
      <c r="U194" s="11"/>
    </row>
    <row r="195" spans="1:21" x14ac:dyDescent="0.2">
      <c r="A195" s="10"/>
      <c r="B195" s="14"/>
      <c r="K195" s="11"/>
      <c r="R195" s="11"/>
      <c r="S195" s="11"/>
      <c r="T195" s="11"/>
      <c r="U195" s="11"/>
    </row>
    <row r="196" spans="1:21" x14ac:dyDescent="0.2">
      <c r="A196" s="10"/>
      <c r="B196" s="14"/>
      <c r="K196" s="11"/>
      <c r="R196" s="11"/>
      <c r="S196" s="11"/>
      <c r="T196" s="11"/>
      <c r="U196" s="11"/>
    </row>
    <row r="197" spans="1:21" x14ac:dyDescent="0.2">
      <c r="A197" s="10"/>
      <c r="B197" s="14"/>
      <c r="K197" s="11"/>
      <c r="R197" s="11"/>
      <c r="S197" s="11"/>
      <c r="T197" s="11"/>
      <c r="U197" s="11"/>
    </row>
    <row r="198" spans="1:21" x14ac:dyDescent="0.2">
      <c r="A198" s="10"/>
      <c r="B198" s="14"/>
      <c r="K198" s="11"/>
      <c r="R198" s="11"/>
      <c r="S198" s="11"/>
      <c r="T198" s="11"/>
      <c r="U198" s="11"/>
    </row>
    <row r="199" spans="1:21" x14ac:dyDescent="0.2">
      <c r="A199" s="10"/>
      <c r="B199" s="14"/>
      <c r="K199" s="11"/>
      <c r="R199" s="11"/>
      <c r="S199" s="11"/>
      <c r="T199" s="11"/>
      <c r="U199" s="11"/>
    </row>
    <row r="200" spans="1:21" x14ac:dyDescent="0.2">
      <c r="A200" s="10"/>
      <c r="B200" s="14"/>
      <c r="K200" s="11"/>
      <c r="R200" s="11"/>
      <c r="S200" s="11"/>
      <c r="T200" s="11"/>
      <c r="U200" s="11"/>
    </row>
    <row r="201" spans="1:21" x14ac:dyDescent="0.2">
      <c r="A201" s="10"/>
      <c r="B201" s="14"/>
      <c r="K201" s="11"/>
      <c r="R201" s="11"/>
      <c r="S201" s="11"/>
      <c r="T201" s="11"/>
      <c r="U201" s="11"/>
    </row>
    <row r="202" spans="1:21" x14ac:dyDescent="0.2">
      <c r="A202" s="10"/>
      <c r="B202" s="14"/>
      <c r="K202" s="11"/>
      <c r="R202" s="11"/>
      <c r="S202" s="11"/>
      <c r="T202" s="11"/>
      <c r="U202" s="11"/>
    </row>
    <row r="203" spans="1:21" x14ac:dyDescent="0.2">
      <c r="A203" s="10"/>
      <c r="B203" s="14"/>
      <c r="K203" s="11"/>
      <c r="R203" s="11"/>
      <c r="S203" s="11"/>
      <c r="T203" s="11"/>
      <c r="U203" s="11"/>
    </row>
    <row r="204" spans="1:21" x14ac:dyDescent="0.2">
      <c r="A204" s="10"/>
      <c r="B204" s="14"/>
      <c r="K204" s="11"/>
      <c r="R204" s="11"/>
      <c r="S204" s="11"/>
      <c r="T204" s="11"/>
      <c r="U204" s="11"/>
    </row>
    <row r="205" spans="1:21" x14ac:dyDescent="0.2">
      <c r="A205" s="10"/>
      <c r="B205" s="14"/>
      <c r="K205" s="11"/>
      <c r="R205" s="11"/>
      <c r="S205" s="11"/>
      <c r="T205" s="11"/>
      <c r="U205" s="11"/>
    </row>
    <row r="206" spans="1:21" x14ac:dyDescent="0.2">
      <c r="A206" s="10"/>
      <c r="B206" s="14"/>
      <c r="K206" s="11"/>
      <c r="R206" s="11"/>
      <c r="S206" s="11"/>
      <c r="T206" s="11"/>
      <c r="U206" s="11"/>
    </row>
    <row r="207" spans="1:21" x14ac:dyDescent="0.2">
      <c r="A207" s="10"/>
      <c r="B207" s="14"/>
      <c r="K207" s="11"/>
      <c r="R207" s="11"/>
      <c r="S207" s="11"/>
      <c r="T207" s="11"/>
      <c r="U207" s="11"/>
    </row>
    <row r="208" spans="1:21" x14ac:dyDescent="0.2">
      <c r="A208" s="10"/>
      <c r="B208" s="14"/>
      <c r="K208" s="11"/>
      <c r="R208" s="11"/>
      <c r="S208" s="11"/>
      <c r="T208" s="11"/>
      <c r="U208" s="11"/>
    </row>
    <row r="209" spans="1:21" x14ac:dyDescent="0.2">
      <c r="A209" s="10"/>
      <c r="B209" s="14"/>
      <c r="K209" s="11"/>
      <c r="R209" s="11"/>
      <c r="S209" s="11"/>
      <c r="T209" s="11"/>
      <c r="U209" s="11"/>
    </row>
    <row r="210" spans="1:21" x14ac:dyDescent="0.2">
      <c r="A210" s="10"/>
      <c r="B210" s="14"/>
      <c r="K210" s="11"/>
      <c r="R210" s="11"/>
      <c r="S210" s="11"/>
      <c r="T210" s="11"/>
      <c r="U210" s="11"/>
    </row>
    <row r="211" spans="1:21" x14ac:dyDescent="0.2">
      <c r="A211" s="10"/>
      <c r="B211" s="14"/>
      <c r="K211" s="11"/>
      <c r="R211" s="11"/>
      <c r="S211" s="11"/>
      <c r="T211" s="11"/>
      <c r="U211" s="11"/>
    </row>
    <row r="212" spans="1:21" x14ac:dyDescent="0.2">
      <c r="A212" s="10"/>
      <c r="B212" s="14"/>
      <c r="K212" s="11"/>
      <c r="R212" s="11"/>
      <c r="S212" s="11"/>
      <c r="T212" s="11"/>
      <c r="U212" s="11"/>
    </row>
    <row r="213" spans="1:21" x14ac:dyDescent="0.2">
      <c r="A213" s="10"/>
      <c r="B213" s="14"/>
      <c r="K213" s="11"/>
      <c r="R213" s="11"/>
      <c r="S213" s="11"/>
      <c r="T213" s="11"/>
      <c r="U213" s="11"/>
    </row>
    <row r="214" spans="1:21" x14ac:dyDescent="0.2">
      <c r="A214" s="10"/>
      <c r="B214" s="14"/>
      <c r="K214" s="11"/>
      <c r="R214" s="11"/>
      <c r="S214" s="11"/>
      <c r="T214" s="11"/>
      <c r="U214" s="11"/>
    </row>
    <row r="215" spans="1:21" x14ac:dyDescent="0.2">
      <c r="A215" s="10"/>
      <c r="B215" s="14"/>
      <c r="K215" s="11"/>
      <c r="R215" s="11"/>
      <c r="S215" s="11"/>
      <c r="T215" s="11"/>
      <c r="U215" s="11"/>
    </row>
    <row r="216" spans="1:21" x14ac:dyDescent="0.2">
      <c r="A216" s="10"/>
      <c r="B216" s="14"/>
      <c r="K216" s="11"/>
      <c r="R216" s="11"/>
      <c r="S216" s="11"/>
      <c r="T216" s="11"/>
      <c r="U216" s="11"/>
    </row>
    <row r="217" spans="1:21" x14ac:dyDescent="0.2">
      <c r="A217" s="10"/>
      <c r="B217" s="14"/>
      <c r="K217" s="11"/>
      <c r="R217" s="11"/>
      <c r="S217" s="11"/>
      <c r="T217" s="11"/>
      <c r="U217" s="11"/>
    </row>
    <row r="218" spans="1:21" x14ac:dyDescent="0.2">
      <c r="A218" s="10"/>
      <c r="B218" s="14"/>
      <c r="K218" s="11"/>
      <c r="R218" s="11"/>
      <c r="S218" s="11"/>
      <c r="T218" s="11"/>
      <c r="U218" s="11"/>
    </row>
    <row r="219" spans="1:21" x14ac:dyDescent="0.2">
      <c r="A219" s="10"/>
      <c r="B219" s="14"/>
      <c r="K219" s="11"/>
      <c r="R219" s="11"/>
      <c r="S219" s="11"/>
      <c r="T219" s="11"/>
      <c r="U219" s="11"/>
    </row>
    <row r="220" spans="1:21" x14ac:dyDescent="0.2">
      <c r="A220" s="10"/>
      <c r="B220" s="14"/>
      <c r="K220" s="11"/>
      <c r="R220" s="11"/>
      <c r="S220" s="11"/>
      <c r="T220" s="11"/>
      <c r="U220" s="11"/>
    </row>
    <row r="221" spans="1:21" x14ac:dyDescent="0.2">
      <c r="A221" s="10"/>
      <c r="B221" s="14"/>
      <c r="K221" s="11"/>
      <c r="R221" s="11"/>
      <c r="S221" s="11"/>
      <c r="T221" s="11"/>
      <c r="U221" s="11"/>
    </row>
    <row r="222" spans="1:21" x14ac:dyDescent="0.2">
      <c r="A222" s="10"/>
      <c r="B222" s="14"/>
      <c r="K222" s="11"/>
      <c r="R222" s="11"/>
      <c r="S222" s="11"/>
      <c r="T222" s="11"/>
      <c r="U222" s="11"/>
    </row>
    <row r="223" spans="1:21" x14ac:dyDescent="0.2">
      <c r="A223" s="10"/>
      <c r="B223" s="14"/>
      <c r="K223" s="11"/>
      <c r="R223" s="11"/>
      <c r="S223" s="11"/>
      <c r="T223" s="11"/>
      <c r="U223" s="11"/>
    </row>
    <row r="224" spans="1:21" x14ac:dyDescent="0.2">
      <c r="A224" s="10"/>
      <c r="B224" s="14"/>
      <c r="K224" s="11"/>
      <c r="R224" s="11"/>
      <c r="S224" s="11"/>
      <c r="T224" s="11"/>
      <c r="U224" s="11"/>
    </row>
    <row r="225" spans="1:21" x14ac:dyDescent="0.2">
      <c r="A225" s="10"/>
      <c r="B225" s="14"/>
      <c r="K225" s="11"/>
      <c r="R225" s="11"/>
      <c r="S225" s="11"/>
      <c r="T225" s="11"/>
      <c r="U225" s="11"/>
    </row>
    <row r="226" spans="1:21" x14ac:dyDescent="0.2">
      <c r="A226" s="10"/>
      <c r="B226" s="14"/>
      <c r="K226" s="11"/>
      <c r="R226" s="11"/>
      <c r="S226" s="11"/>
      <c r="T226" s="11"/>
      <c r="U226" s="11"/>
    </row>
    <row r="227" spans="1:21" x14ac:dyDescent="0.2">
      <c r="A227" s="10"/>
      <c r="B227" s="14"/>
      <c r="K227" s="11"/>
      <c r="R227" s="11"/>
      <c r="S227" s="11"/>
      <c r="T227" s="11"/>
      <c r="U227" s="11"/>
    </row>
    <row r="228" spans="1:21" x14ac:dyDescent="0.2">
      <c r="A228" s="10"/>
      <c r="B228" s="14"/>
      <c r="R228" s="11"/>
      <c r="S228" s="11"/>
      <c r="T228" s="11"/>
      <c r="U228" s="11"/>
    </row>
    <row r="229" spans="1:21" x14ac:dyDescent="0.2">
      <c r="A229" s="10"/>
      <c r="B229" s="14"/>
      <c r="R229" s="11"/>
      <c r="S229" s="11"/>
      <c r="T229" s="11"/>
      <c r="U229" s="11"/>
    </row>
    <row r="230" spans="1:21" x14ac:dyDescent="0.2">
      <c r="A230" s="10"/>
      <c r="B230" s="14"/>
      <c r="R230" s="11"/>
      <c r="S230" s="11"/>
      <c r="T230" s="11"/>
      <c r="U230" s="11"/>
    </row>
    <row r="231" spans="1:21" x14ac:dyDescent="0.2">
      <c r="A231" s="10"/>
      <c r="B231" s="14"/>
      <c r="R231" s="11"/>
      <c r="S231" s="11"/>
      <c r="T231" s="11"/>
      <c r="U231" s="11"/>
    </row>
    <row r="232" spans="1:21" x14ac:dyDescent="0.2">
      <c r="A232" s="10"/>
      <c r="B232" s="14"/>
      <c r="R232" s="11"/>
      <c r="S232" s="11"/>
      <c r="T232" s="11"/>
      <c r="U232" s="11"/>
    </row>
    <row r="233" spans="1:21" x14ac:dyDescent="0.2">
      <c r="A233" s="10"/>
      <c r="B233" s="14"/>
      <c r="R233" s="11"/>
      <c r="S233" s="11"/>
      <c r="T233" s="11"/>
      <c r="U233" s="11"/>
    </row>
    <row r="234" spans="1:21" x14ac:dyDescent="0.2">
      <c r="A234" s="10"/>
      <c r="B234" s="14"/>
      <c r="R234" s="11"/>
      <c r="S234" s="11"/>
      <c r="T234" s="11"/>
      <c r="U234" s="11"/>
    </row>
    <row r="235" spans="1:21" x14ac:dyDescent="0.2">
      <c r="A235" s="10"/>
      <c r="B235" s="14"/>
      <c r="R235" s="11"/>
      <c r="S235" s="11"/>
      <c r="T235" s="11"/>
      <c r="U235" s="11"/>
    </row>
    <row r="236" spans="1:21" x14ac:dyDescent="0.2">
      <c r="A236" s="10"/>
      <c r="B236" s="14"/>
      <c r="R236" s="11"/>
      <c r="S236" s="11"/>
      <c r="T236" s="11"/>
      <c r="U236" s="11"/>
    </row>
    <row r="237" spans="1:21" x14ac:dyDescent="0.2">
      <c r="A237" s="10"/>
      <c r="B237" s="14"/>
      <c r="R237" s="11"/>
      <c r="S237" s="11"/>
      <c r="T237" s="11"/>
      <c r="U237" s="11"/>
    </row>
    <row r="238" spans="1:21" x14ac:dyDescent="0.2">
      <c r="A238" s="10"/>
      <c r="B238" s="14"/>
      <c r="R238" s="11"/>
      <c r="S238" s="11"/>
      <c r="T238" s="11"/>
      <c r="U238" s="11"/>
    </row>
    <row r="239" spans="1:21" x14ac:dyDescent="0.2">
      <c r="A239" s="10"/>
      <c r="B239" s="14"/>
      <c r="R239" s="11"/>
      <c r="S239" s="11"/>
      <c r="T239" s="11"/>
      <c r="U239" s="11"/>
    </row>
    <row r="240" spans="1:21" x14ac:dyDescent="0.2">
      <c r="A240" s="10"/>
      <c r="B240" s="14"/>
      <c r="R240" s="11"/>
      <c r="S240" s="11"/>
      <c r="T240" s="11"/>
      <c r="U240" s="11"/>
    </row>
    <row r="241" spans="1:21" x14ac:dyDescent="0.2">
      <c r="A241" s="10"/>
      <c r="B241" s="14"/>
      <c r="R241" s="11"/>
      <c r="S241" s="11"/>
      <c r="T241" s="11"/>
      <c r="U241" s="11"/>
    </row>
    <row r="242" spans="1:21" x14ac:dyDescent="0.2">
      <c r="A242" s="10"/>
      <c r="B242" s="14"/>
      <c r="R242" s="11"/>
      <c r="S242" s="11"/>
      <c r="T242" s="11"/>
      <c r="U242" s="11"/>
    </row>
    <row r="243" spans="1:21" x14ac:dyDescent="0.2">
      <c r="A243" s="10"/>
      <c r="B243" s="14"/>
      <c r="R243" s="11"/>
      <c r="S243" s="11"/>
      <c r="T243" s="11"/>
      <c r="U243" s="11"/>
    </row>
    <row r="244" spans="1:21" x14ac:dyDescent="0.2">
      <c r="A244" s="10"/>
      <c r="B244" s="14"/>
      <c r="R244" s="11"/>
      <c r="S244" s="11"/>
      <c r="T244" s="11"/>
      <c r="U244" s="11"/>
    </row>
    <row r="245" spans="1:21" x14ac:dyDescent="0.2">
      <c r="A245" s="10"/>
      <c r="B245" s="14"/>
      <c r="R245" s="11"/>
      <c r="S245" s="11"/>
      <c r="T245" s="11"/>
      <c r="U245" s="11"/>
    </row>
    <row r="246" spans="1:21" x14ac:dyDescent="0.2">
      <c r="A246" s="10"/>
      <c r="B246" s="14"/>
      <c r="R246" s="11"/>
      <c r="S246" s="11"/>
      <c r="T246" s="11"/>
      <c r="U246" s="11"/>
    </row>
    <row r="247" spans="1:21" x14ac:dyDescent="0.2">
      <c r="A247" s="10"/>
      <c r="B247" s="14"/>
      <c r="R247" s="11"/>
      <c r="S247" s="11"/>
      <c r="T247" s="11"/>
      <c r="U247" s="11"/>
    </row>
    <row r="248" spans="1:21" x14ac:dyDescent="0.2">
      <c r="A248" s="10"/>
      <c r="B248" s="14"/>
      <c r="R248" s="11"/>
      <c r="S248" s="11"/>
      <c r="T248" s="11"/>
      <c r="U248" s="11"/>
    </row>
    <row r="249" spans="1:21" x14ac:dyDescent="0.2">
      <c r="A249" s="10"/>
      <c r="B249" s="14"/>
      <c r="R249" s="11"/>
      <c r="S249" s="11"/>
      <c r="T249" s="11"/>
      <c r="U249" s="11"/>
    </row>
    <row r="250" spans="1:21" x14ac:dyDescent="0.2">
      <c r="A250" s="10"/>
      <c r="B250" s="14"/>
      <c r="R250" s="11"/>
      <c r="S250" s="11"/>
      <c r="T250" s="11"/>
      <c r="U250" s="11"/>
    </row>
    <row r="251" spans="1:21" x14ac:dyDescent="0.2">
      <c r="A251" s="10"/>
      <c r="B251" s="14"/>
      <c r="R251" s="11"/>
      <c r="S251" s="11"/>
      <c r="T251" s="11"/>
      <c r="U251" s="11"/>
    </row>
    <row r="252" spans="1:21" x14ac:dyDescent="0.2">
      <c r="A252" s="10"/>
      <c r="B252" s="14"/>
      <c r="R252" s="11"/>
      <c r="S252" s="11"/>
      <c r="T252" s="11"/>
      <c r="U252" s="11"/>
    </row>
    <row r="253" spans="1:21" x14ac:dyDescent="0.2">
      <c r="A253" s="10"/>
      <c r="B253" s="14"/>
      <c r="R253" s="11"/>
      <c r="S253" s="11"/>
      <c r="T253" s="11"/>
      <c r="U253" s="11"/>
    </row>
    <row r="254" spans="1:21" x14ac:dyDescent="0.2">
      <c r="A254" s="10"/>
      <c r="B254" s="14"/>
      <c r="R254" s="11"/>
      <c r="S254" s="11"/>
      <c r="T254" s="11"/>
      <c r="U254" s="11"/>
    </row>
    <row r="255" spans="1:21" x14ac:dyDescent="0.2">
      <c r="A255" s="10"/>
      <c r="B255" s="14"/>
      <c r="R255" s="11"/>
      <c r="S255" s="11"/>
      <c r="T255" s="11"/>
      <c r="U255" s="11"/>
    </row>
    <row r="256" spans="1:21" x14ac:dyDescent="0.2">
      <c r="A256" s="10"/>
      <c r="B256" s="14"/>
      <c r="R256" s="11"/>
      <c r="S256" s="11"/>
      <c r="T256" s="11"/>
      <c r="U256" s="11"/>
    </row>
    <row r="257" spans="1:21" x14ac:dyDescent="0.2">
      <c r="A257" s="10"/>
      <c r="B257" s="14"/>
      <c r="R257" s="11"/>
      <c r="S257" s="11"/>
      <c r="T257" s="11"/>
      <c r="U257" s="11"/>
    </row>
    <row r="258" spans="1:21" x14ac:dyDescent="0.2">
      <c r="A258" s="10"/>
      <c r="B258" s="14"/>
      <c r="R258" s="11"/>
      <c r="S258" s="11"/>
      <c r="T258" s="11"/>
      <c r="U258" s="11"/>
    </row>
    <row r="259" spans="1:21" x14ac:dyDescent="0.2">
      <c r="A259" s="10"/>
      <c r="B259" s="14"/>
      <c r="R259" s="11"/>
      <c r="S259" s="11"/>
      <c r="T259" s="11"/>
      <c r="U259" s="11"/>
    </row>
    <row r="260" spans="1:21" x14ac:dyDescent="0.2">
      <c r="A260" s="10"/>
      <c r="B260" s="14"/>
      <c r="R260" s="11"/>
      <c r="S260" s="11"/>
      <c r="T260" s="11"/>
      <c r="U260" s="11"/>
    </row>
    <row r="261" spans="1:21" x14ac:dyDescent="0.2">
      <c r="A261" s="10"/>
      <c r="B261" s="14"/>
      <c r="R261" s="11"/>
      <c r="S261" s="11"/>
      <c r="T261" s="11"/>
      <c r="U261" s="11"/>
    </row>
    <row r="262" spans="1:21" x14ac:dyDescent="0.2">
      <c r="A262" s="10"/>
      <c r="B262" s="14"/>
      <c r="R262" s="11"/>
      <c r="S262" s="11"/>
      <c r="T262" s="11"/>
      <c r="U262" s="11"/>
    </row>
    <row r="263" spans="1:21" x14ac:dyDescent="0.2">
      <c r="A263" s="10"/>
      <c r="B263" s="14"/>
      <c r="R263" s="11"/>
      <c r="S263" s="11"/>
      <c r="T263" s="11"/>
      <c r="U263" s="11"/>
    </row>
    <row r="264" spans="1:21" x14ac:dyDescent="0.2">
      <c r="A264" s="10"/>
      <c r="B264" s="14"/>
      <c r="R264" s="11"/>
      <c r="S264" s="11"/>
      <c r="T264" s="11"/>
      <c r="U264" s="11"/>
    </row>
    <row r="265" spans="1:21" x14ac:dyDescent="0.2">
      <c r="A265" s="10"/>
      <c r="B265" s="14"/>
      <c r="R265" s="11"/>
      <c r="S265" s="11"/>
      <c r="T265" s="11"/>
      <c r="U265" s="11"/>
    </row>
    <row r="266" spans="1:21" x14ac:dyDescent="0.2">
      <c r="A266" s="10"/>
      <c r="B266" s="14"/>
      <c r="R266" s="11"/>
      <c r="S266" s="11"/>
      <c r="T266" s="11"/>
      <c r="U266" s="11"/>
    </row>
    <row r="267" spans="1:21" x14ac:dyDescent="0.2">
      <c r="A267" s="10"/>
      <c r="B267" s="14"/>
      <c r="R267" s="11"/>
      <c r="S267" s="11"/>
      <c r="T267" s="11"/>
      <c r="U267" s="11"/>
    </row>
    <row r="268" spans="1:21" x14ac:dyDescent="0.2">
      <c r="A268" s="10"/>
      <c r="B268" s="14"/>
      <c r="R268" s="11"/>
      <c r="S268" s="11"/>
      <c r="T268" s="11"/>
      <c r="U268" s="11"/>
    </row>
    <row r="269" spans="1:21" x14ac:dyDescent="0.2">
      <c r="A269" s="10"/>
      <c r="B269" s="14"/>
      <c r="R269" s="11"/>
      <c r="S269" s="11"/>
      <c r="T269" s="11"/>
      <c r="U269" s="11"/>
    </row>
    <row r="270" spans="1:21" x14ac:dyDescent="0.2">
      <c r="A270" s="10"/>
      <c r="B270" s="14"/>
      <c r="R270" s="11"/>
      <c r="S270" s="11"/>
      <c r="T270" s="11"/>
      <c r="U270" s="11"/>
    </row>
    <row r="271" spans="1:21" x14ac:dyDescent="0.2">
      <c r="A271" s="10"/>
      <c r="B271" s="14"/>
      <c r="R271" s="11"/>
      <c r="S271" s="11"/>
      <c r="T271" s="11"/>
      <c r="U271" s="11"/>
    </row>
    <row r="272" spans="1:21" x14ac:dyDescent="0.2">
      <c r="A272" s="10"/>
      <c r="B272" s="14"/>
      <c r="R272" s="11"/>
      <c r="S272" s="11"/>
      <c r="T272" s="11"/>
      <c r="U272" s="11"/>
    </row>
    <row r="273" spans="1:21" x14ac:dyDescent="0.2">
      <c r="A273" s="10"/>
      <c r="B273" s="14"/>
      <c r="R273" s="11"/>
      <c r="S273" s="11"/>
      <c r="T273" s="11"/>
      <c r="U273" s="11"/>
    </row>
    <row r="274" spans="1:21" x14ac:dyDescent="0.2">
      <c r="A274" s="10"/>
      <c r="B274" s="14"/>
      <c r="R274" s="11"/>
      <c r="S274" s="11"/>
      <c r="T274" s="11"/>
      <c r="U274" s="11"/>
    </row>
    <row r="275" spans="1:21" x14ac:dyDescent="0.2">
      <c r="A275" s="10"/>
      <c r="B275" s="14"/>
      <c r="R275" s="11"/>
      <c r="S275" s="11"/>
      <c r="T275" s="11"/>
      <c r="U275" s="11"/>
    </row>
    <row r="276" spans="1:21" x14ac:dyDescent="0.2">
      <c r="A276" s="10"/>
      <c r="B276" s="14"/>
      <c r="R276" s="11"/>
      <c r="S276" s="11"/>
      <c r="T276" s="11"/>
      <c r="U276" s="11"/>
    </row>
    <row r="277" spans="1:21" x14ac:dyDescent="0.2">
      <c r="A277" s="10"/>
      <c r="B277" s="14"/>
      <c r="R277" s="11"/>
      <c r="S277" s="11"/>
      <c r="T277" s="11"/>
      <c r="U277" s="11"/>
    </row>
    <row r="278" spans="1:21" x14ac:dyDescent="0.2">
      <c r="A278" s="10"/>
      <c r="B278" s="14"/>
      <c r="R278" s="11"/>
      <c r="S278" s="11"/>
      <c r="T278" s="11"/>
      <c r="U278" s="11"/>
    </row>
    <row r="279" spans="1:21" x14ac:dyDescent="0.2">
      <c r="A279" s="10"/>
      <c r="B279" s="14"/>
      <c r="R279" s="11"/>
      <c r="S279" s="11"/>
      <c r="T279" s="11"/>
      <c r="U279" s="11"/>
    </row>
    <row r="280" spans="1:21" x14ac:dyDescent="0.2">
      <c r="A280" s="10"/>
      <c r="B280" s="14"/>
      <c r="R280" s="11"/>
      <c r="S280" s="11"/>
      <c r="T280" s="11"/>
      <c r="U280" s="11"/>
    </row>
    <row r="281" spans="1:21" x14ac:dyDescent="0.2">
      <c r="A281" s="10"/>
      <c r="B281" s="14"/>
      <c r="R281" s="11"/>
      <c r="S281" s="11"/>
      <c r="T281" s="11"/>
      <c r="U281" s="11"/>
    </row>
    <row r="282" spans="1:21" x14ac:dyDescent="0.2">
      <c r="A282" s="10"/>
      <c r="B282" s="14"/>
      <c r="R282" s="11"/>
      <c r="S282" s="11"/>
      <c r="T282" s="11"/>
      <c r="U282" s="11"/>
    </row>
    <row r="283" spans="1:21" x14ac:dyDescent="0.2">
      <c r="A283" s="10"/>
      <c r="B283" s="14"/>
      <c r="R283" s="11"/>
      <c r="S283" s="11"/>
      <c r="T283" s="11"/>
      <c r="U283" s="11"/>
    </row>
    <row r="284" spans="1:21" x14ac:dyDescent="0.2">
      <c r="A284" s="10"/>
      <c r="B284" s="14"/>
      <c r="R284" s="11"/>
      <c r="S284" s="11"/>
      <c r="T284" s="11"/>
      <c r="U284" s="11"/>
    </row>
    <row r="285" spans="1:21" x14ac:dyDescent="0.2">
      <c r="A285" s="10"/>
      <c r="B285" s="14"/>
      <c r="R285" s="11"/>
      <c r="S285" s="11"/>
      <c r="T285" s="11"/>
      <c r="U285" s="11"/>
    </row>
    <row r="286" spans="1:21" x14ac:dyDescent="0.2">
      <c r="A286" s="10"/>
      <c r="B286" s="14"/>
      <c r="R286" s="11"/>
      <c r="S286" s="11"/>
      <c r="T286" s="11"/>
      <c r="U286" s="11"/>
    </row>
    <row r="287" spans="1:21" x14ac:dyDescent="0.2">
      <c r="A287" s="10"/>
      <c r="B287" s="14"/>
      <c r="R287" s="11"/>
      <c r="S287" s="11"/>
      <c r="T287" s="11"/>
      <c r="U287" s="11"/>
    </row>
    <row r="288" spans="1:21" x14ac:dyDescent="0.2">
      <c r="A288" s="10"/>
      <c r="B288" s="14"/>
      <c r="R288" s="11"/>
      <c r="S288" s="11"/>
      <c r="T288" s="11"/>
      <c r="U288" s="11"/>
    </row>
    <row r="289" spans="1:21" x14ac:dyDescent="0.2">
      <c r="A289" s="10"/>
      <c r="B289" s="14"/>
      <c r="R289" s="11"/>
      <c r="S289" s="11"/>
      <c r="T289" s="11"/>
      <c r="U289" s="11"/>
    </row>
    <row r="290" spans="1:21" x14ac:dyDescent="0.2">
      <c r="A290" s="10"/>
      <c r="B290" s="14"/>
      <c r="R290" s="11"/>
      <c r="S290" s="11"/>
      <c r="T290" s="11"/>
      <c r="U290" s="11"/>
    </row>
    <row r="291" spans="1:21" x14ac:dyDescent="0.2">
      <c r="A291" s="10"/>
      <c r="B291" s="14"/>
      <c r="R291" s="11"/>
      <c r="S291" s="11"/>
      <c r="T291" s="11"/>
      <c r="U291" s="11"/>
    </row>
    <row r="292" spans="1:21" x14ac:dyDescent="0.2">
      <c r="A292" s="10"/>
      <c r="B292" s="14"/>
      <c r="R292" s="11"/>
      <c r="S292" s="11"/>
      <c r="T292" s="11"/>
      <c r="U292" s="11"/>
    </row>
    <row r="293" spans="1:21" x14ac:dyDescent="0.2">
      <c r="A293" s="10"/>
      <c r="B293" s="14"/>
      <c r="R293" s="11"/>
      <c r="S293" s="11"/>
      <c r="T293" s="11"/>
      <c r="U293" s="11"/>
    </row>
    <row r="294" spans="1:21" x14ac:dyDescent="0.2">
      <c r="A294" s="10"/>
      <c r="B294" s="14"/>
      <c r="R294" s="11"/>
      <c r="S294" s="11"/>
      <c r="T294" s="11"/>
      <c r="U294" s="11"/>
    </row>
    <row r="295" spans="1:21" x14ac:dyDescent="0.2">
      <c r="A295" s="10"/>
      <c r="B295" s="14"/>
      <c r="R295" s="11"/>
      <c r="S295" s="11"/>
      <c r="T295" s="11"/>
      <c r="U295" s="11"/>
    </row>
    <row r="296" spans="1:21" x14ac:dyDescent="0.2">
      <c r="A296" s="10"/>
      <c r="B296" s="14"/>
      <c r="R296" s="11"/>
      <c r="S296" s="11"/>
      <c r="T296" s="11"/>
      <c r="U296" s="11"/>
    </row>
    <row r="297" spans="1:21" x14ac:dyDescent="0.2">
      <c r="A297" s="10"/>
      <c r="B297" s="14"/>
      <c r="R297" s="11"/>
      <c r="S297" s="11"/>
      <c r="T297" s="11"/>
      <c r="U297" s="11"/>
    </row>
    <row r="298" spans="1:21" x14ac:dyDescent="0.2">
      <c r="A298" s="10"/>
      <c r="B298" s="14"/>
      <c r="R298" s="11"/>
      <c r="S298" s="11"/>
      <c r="T298" s="11"/>
      <c r="U298" s="11"/>
    </row>
    <row r="299" spans="1:21" x14ac:dyDescent="0.2">
      <c r="A299" s="10"/>
      <c r="B299" s="14"/>
      <c r="R299" s="11"/>
      <c r="S299" s="11"/>
      <c r="T299" s="11"/>
      <c r="U299" s="11"/>
    </row>
    <row r="300" spans="1:21" x14ac:dyDescent="0.2">
      <c r="A300" s="10"/>
      <c r="B300" s="14"/>
      <c r="R300" s="11"/>
      <c r="S300" s="11"/>
      <c r="T300" s="11"/>
      <c r="U300" s="11"/>
    </row>
    <row r="301" spans="1:21" x14ac:dyDescent="0.2">
      <c r="A301" s="10"/>
      <c r="B301" s="14"/>
      <c r="R301" s="11"/>
      <c r="S301" s="11"/>
      <c r="T301" s="11"/>
      <c r="U301" s="11"/>
    </row>
    <row r="302" spans="1:21" x14ac:dyDescent="0.2">
      <c r="A302" s="10"/>
      <c r="B302" s="14"/>
      <c r="R302" s="11"/>
      <c r="S302" s="11"/>
      <c r="T302" s="11"/>
      <c r="U302" s="11"/>
    </row>
    <row r="303" spans="1:21" x14ac:dyDescent="0.2">
      <c r="A303" s="10"/>
      <c r="B303" s="14"/>
      <c r="R303" s="11"/>
      <c r="S303" s="11"/>
      <c r="T303" s="11"/>
      <c r="U303" s="11"/>
    </row>
    <row r="304" spans="1:21" x14ac:dyDescent="0.2">
      <c r="A304" s="10"/>
      <c r="B304" s="14"/>
      <c r="R304" s="11"/>
      <c r="S304" s="11"/>
      <c r="T304" s="11"/>
      <c r="U304" s="11"/>
    </row>
    <row r="305" spans="1:21" x14ac:dyDescent="0.2">
      <c r="A305" s="10"/>
      <c r="B305" s="14"/>
      <c r="R305" s="11"/>
      <c r="S305" s="11"/>
      <c r="T305" s="11"/>
      <c r="U305" s="11"/>
    </row>
    <row r="306" spans="1:21" x14ac:dyDescent="0.2">
      <c r="A306" s="10"/>
      <c r="B306" s="14"/>
      <c r="R306" s="11"/>
      <c r="S306" s="11"/>
      <c r="T306" s="11"/>
      <c r="U306" s="11"/>
    </row>
    <row r="307" spans="1:21" x14ac:dyDescent="0.2">
      <c r="A307" s="10"/>
      <c r="B307" s="14"/>
      <c r="R307" s="11"/>
      <c r="S307" s="11"/>
      <c r="T307" s="11"/>
      <c r="U307" s="11"/>
    </row>
    <row r="308" spans="1:21" x14ac:dyDescent="0.2">
      <c r="A308" s="10"/>
      <c r="B308" s="14"/>
      <c r="R308" s="11"/>
      <c r="S308" s="11"/>
      <c r="T308" s="11"/>
      <c r="U308" s="11"/>
    </row>
    <row r="309" spans="1:21" x14ac:dyDescent="0.2">
      <c r="A309" s="10"/>
      <c r="B309" s="14"/>
      <c r="R309" s="11"/>
      <c r="S309" s="11"/>
      <c r="T309" s="11"/>
      <c r="U309" s="11"/>
    </row>
    <row r="310" spans="1:21" x14ac:dyDescent="0.2">
      <c r="A310" s="10"/>
      <c r="B310" s="14"/>
      <c r="R310" s="11"/>
      <c r="S310" s="11"/>
      <c r="T310" s="11"/>
      <c r="U310" s="11"/>
    </row>
    <row r="311" spans="1:21" x14ac:dyDescent="0.2">
      <c r="A311" s="10"/>
      <c r="B311" s="14"/>
      <c r="R311" s="11"/>
      <c r="S311" s="11"/>
      <c r="T311" s="11"/>
      <c r="U311" s="11"/>
    </row>
    <row r="312" spans="1:21" x14ac:dyDescent="0.2">
      <c r="A312" s="10"/>
      <c r="B312" s="14"/>
      <c r="R312" s="11"/>
      <c r="S312" s="11"/>
      <c r="T312" s="11"/>
      <c r="U312" s="11"/>
    </row>
    <row r="313" spans="1:21" x14ac:dyDescent="0.2">
      <c r="A313" s="10"/>
      <c r="B313" s="14"/>
      <c r="R313" s="11"/>
      <c r="S313" s="11"/>
      <c r="T313" s="11"/>
      <c r="U313" s="11"/>
    </row>
    <row r="314" spans="1:21" x14ac:dyDescent="0.2">
      <c r="A314" s="10"/>
      <c r="B314" s="14"/>
      <c r="R314" s="11"/>
      <c r="S314" s="11"/>
      <c r="T314" s="11"/>
      <c r="U314" s="11"/>
    </row>
    <row r="315" spans="1:21" x14ac:dyDescent="0.2">
      <c r="A315" s="10"/>
      <c r="B315" s="14"/>
      <c r="R315" s="11"/>
      <c r="S315" s="11"/>
      <c r="T315" s="11"/>
      <c r="U315" s="11"/>
    </row>
    <row r="316" spans="1:21" x14ac:dyDescent="0.2">
      <c r="A316" s="10"/>
      <c r="B316" s="14"/>
      <c r="R316" s="11"/>
      <c r="S316" s="11"/>
      <c r="T316" s="11"/>
      <c r="U316" s="11"/>
    </row>
    <row r="317" spans="1:21" x14ac:dyDescent="0.2">
      <c r="A317" s="10"/>
      <c r="B317" s="14"/>
      <c r="R317" s="11"/>
      <c r="S317" s="11"/>
      <c r="T317" s="11"/>
      <c r="U317" s="11"/>
    </row>
    <row r="318" spans="1:21" x14ac:dyDescent="0.2">
      <c r="A318" s="10"/>
      <c r="B318" s="14"/>
      <c r="R318" s="11"/>
      <c r="S318" s="11"/>
      <c r="T318" s="11"/>
      <c r="U318" s="11"/>
    </row>
    <row r="319" spans="1:21" x14ac:dyDescent="0.2">
      <c r="A319" s="10"/>
      <c r="B319" s="14"/>
      <c r="R319" s="11"/>
      <c r="S319" s="11"/>
      <c r="T319" s="11"/>
      <c r="U319" s="11"/>
    </row>
    <row r="320" spans="1:21" x14ac:dyDescent="0.2">
      <c r="A320" s="10"/>
      <c r="B320" s="14"/>
      <c r="R320" s="11"/>
      <c r="S320" s="11"/>
      <c r="T320" s="11"/>
      <c r="U320" s="11"/>
    </row>
    <row r="321" spans="1:21" x14ac:dyDescent="0.2">
      <c r="A321" s="10"/>
      <c r="B321" s="14"/>
      <c r="R321" s="11"/>
      <c r="S321" s="11"/>
      <c r="T321" s="11"/>
      <c r="U321" s="11"/>
    </row>
    <row r="322" spans="1:21" x14ac:dyDescent="0.2">
      <c r="A322" s="10"/>
      <c r="B322" s="14"/>
      <c r="R322" s="11"/>
      <c r="S322" s="11"/>
      <c r="T322" s="11"/>
      <c r="U322" s="11"/>
    </row>
    <row r="323" spans="1:21" x14ac:dyDescent="0.2">
      <c r="A323" s="10"/>
      <c r="B323" s="14"/>
      <c r="R323" s="11"/>
      <c r="S323" s="11"/>
      <c r="T323" s="11"/>
      <c r="U323" s="11"/>
    </row>
    <row r="324" spans="1:21" x14ac:dyDescent="0.2">
      <c r="A324" s="10"/>
      <c r="B324" s="14"/>
      <c r="R324" s="11"/>
      <c r="S324" s="11"/>
      <c r="T324" s="11"/>
      <c r="U324" s="11"/>
    </row>
    <row r="325" spans="1:21" x14ac:dyDescent="0.2">
      <c r="A325" s="10"/>
      <c r="B325" s="14"/>
      <c r="R325" s="11"/>
      <c r="S325" s="11"/>
      <c r="T325" s="11"/>
      <c r="U325" s="11"/>
    </row>
    <row r="326" spans="1:21" x14ac:dyDescent="0.2">
      <c r="A326" s="10"/>
      <c r="B326" s="14"/>
      <c r="R326" s="11"/>
      <c r="S326" s="11"/>
      <c r="T326" s="11"/>
      <c r="U326" s="11"/>
    </row>
    <row r="327" spans="1:21" x14ac:dyDescent="0.2">
      <c r="A327" s="10"/>
      <c r="B327" s="14"/>
      <c r="R327" s="11"/>
      <c r="S327" s="11"/>
      <c r="T327" s="11"/>
      <c r="U327" s="11"/>
    </row>
    <row r="328" spans="1:21" x14ac:dyDescent="0.2">
      <c r="A328" s="10"/>
      <c r="B328" s="14"/>
      <c r="R328" s="11"/>
      <c r="S328" s="11"/>
      <c r="T328" s="11"/>
      <c r="U328" s="11"/>
    </row>
    <row r="329" spans="1:21" x14ac:dyDescent="0.2">
      <c r="A329" s="10"/>
      <c r="B329" s="14"/>
      <c r="R329" s="11"/>
      <c r="S329" s="11"/>
      <c r="T329" s="11"/>
      <c r="U329" s="11"/>
    </row>
    <row r="330" spans="1:21" x14ac:dyDescent="0.2">
      <c r="A330" s="10"/>
      <c r="B330" s="14"/>
      <c r="R330" s="11"/>
      <c r="S330" s="11"/>
      <c r="T330" s="11"/>
      <c r="U330" s="11"/>
    </row>
    <row r="331" spans="1:21" x14ac:dyDescent="0.2">
      <c r="A331" s="10"/>
      <c r="B331" s="14"/>
      <c r="R331" s="11"/>
      <c r="S331" s="11"/>
      <c r="T331" s="11"/>
      <c r="U331" s="11"/>
    </row>
    <row r="332" spans="1:21" x14ac:dyDescent="0.2">
      <c r="A332" s="10"/>
      <c r="B332" s="14"/>
      <c r="R332" s="11"/>
      <c r="S332" s="11"/>
      <c r="T332" s="11"/>
      <c r="U332" s="11"/>
    </row>
    <row r="333" spans="1:21" x14ac:dyDescent="0.2">
      <c r="A333" s="10"/>
      <c r="B333" s="14"/>
      <c r="R333" s="11"/>
      <c r="S333" s="11"/>
      <c r="T333" s="11"/>
      <c r="U333" s="11"/>
    </row>
    <row r="334" spans="1:21" x14ac:dyDescent="0.2">
      <c r="A334" s="10"/>
      <c r="B334" s="14"/>
      <c r="R334" s="11"/>
      <c r="S334" s="11"/>
      <c r="T334" s="11"/>
      <c r="U334" s="11"/>
    </row>
    <row r="335" spans="1:21" x14ac:dyDescent="0.2">
      <c r="A335" s="10"/>
      <c r="B335" s="14"/>
      <c r="R335" s="11"/>
      <c r="S335" s="11"/>
      <c r="T335" s="11"/>
      <c r="U335" s="11"/>
    </row>
    <row r="336" spans="1:21" x14ac:dyDescent="0.2">
      <c r="A336" s="10"/>
      <c r="B336" s="14"/>
      <c r="R336" s="11"/>
      <c r="S336" s="11"/>
      <c r="T336" s="11"/>
      <c r="U336" s="11"/>
    </row>
    <row r="337" spans="1:21" x14ac:dyDescent="0.2">
      <c r="A337" s="10"/>
      <c r="B337" s="14"/>
      <c r="R337" s="11"/>
      <c r="S337" s="11"/>
      <c r="T337" s="11"/>
      <c r="U337" s="11"/>
    </row>
    <row r="338" spans="1:21" x14ac:dyDescent="0.2">
      <c r="A338" s="10"/>
      <c r="B338" s="14"/>
      <c r="R338" s="11"/>
      <c r="S338" s="11"/>
      <c r="T338" s="11"/>
      <c r="U338" s="11"/>
    </row>
    <row r="339" spans="1:21" x14ac:dyDescent="0.2">
      <c r="A339" s="10"/>
      <c r="B339" s="14"/>
      <c r="R339" s="11"/>
      <c r="S339" s="11"/>
      <c r="T339" s="11"/>
      <c r="U339" s="11"/>
    </row>
    <row r="340" spans="1:21" x14ac:dyDescent="0.2">
      <c r="A340" s="10"/>
      <c r="B340" s="14"/>
      <c r="R340" s="11"/>
      <c r="S340" s="11"/>
      <c r="T340" s="11"/>
      <c r="U340" s="11"/>
    </row>
    <row r="341" spans="1:21" x14ac:dyDescent="0.2">
      <c r="A341" s="10"/>
      <c r="B341" s="14"/>
      <c r="R341" s="11"/>
      <c r="S341" s="11"/>
      <c r="T341" s="11"/>
      <c r="U341" s="11"/>
    </row>
    <row r="342" spans="1:21" x14ac:dyDescent="0.2">
      <c r="A342" s="10"/>
      <c r="B342" s="14"/>
      <c r="R342" s="11"/>
      <c r="S342" s="11"/>
      <c r="T342" s="11"/>
      <c r="U342" s="11"/>
    </row>
    <row r="343" spans="1:21" x14ac:dyDescent="0.2">
      <c r="A343" s="10"/>
      <c r="B343" s="14"/>
      <c r="R343" s="11"/>
      <c r="S343" s="11"/>
      <c r="T343" s="11"/>
      <c r="U343" s="11"/>
    </row>
    <row r="344" spans="1:21" x14ac:dyDescent="0.2">
      <c r="A344" s="10"/>
      <c r="B344" s="14"/>
      <c r="R344" s="11"/>
      <c r="S344" s="11"/>
      <c r="T344" s="11"/>
      <c r="U344" s="11"/>
    </row>
    <row r="345" spans="1:21" x14ac:dyDescent="0.2">
      <c r="A345" s="10"/>
      <c r="B345" s="14"/>
      <c r="R345" s="11"/>
      <c r="S345" s="11"/>
      <c r="T345" s="11"/>
      <c r="U345" s="11"/>
    </row>
    <row r="346" spans="1:21" x14ac:dyDescent="0.2">
      <c r="A346" s="10"/>
      <c r="B346" s="14"/>
      <c r="R346" s="11"/>
      <c r="S346" s="11"/>
      <c r="T346" s="11"/>
      <c r="U346" s="11"/>
    </row>
    <row r="347" spans="1:21" x14ac:dyDescent="0.2">
      <c r="A347" s="10"/>
      <c r="B347" s="14"/>
      <c r="R347" s="11"/>
      <c r="S347" s="11"/>
      <c r="T347" s="11"/>
      <c r="U347" s="11"/>
    </row>
    <row r="348" spans="1:21" x14ac:dyDescent="0.2">
      <c r="A348" s="10"/>
      <c r="B348" s="14"/>
      <c r="R348" s="11"/>
      <c r="S348" s="11"/>
      <c r="T348" s="11"/>
      <c r="U348" s="11"/>
    </row>
    <row r="349" spans="1:21" x14ac:dyDescent="0.2">
      <c r="A349" s="10"/>
      <c r="B349" s="14"/>
      <c r="R349" s="11"/>
      <c r="S349" s="11"/>
      <c r="T349" s="11"/>
      <c r="U349" s="11"/>
    </row>
    <row r="350" spans="1:21" x14ac:dyDescent="0.2">
      <c r="A350" s="10"/>
      <c r="B350" s="14"/>
      <c r="R350" s="11"/>
      <c r="S350" s="11"/>
      <c r="T350" s="11"/>
      <c r="U350" s="11"/>
    </row>
    <row r="351" spans="1:21" x14ac:dyDescent="0.2">
      <c r="A351" s="10"/>
      <c r="B351" s="14"/>
      <c r="R351" s="11"/>
      <c r="S351" s="11"/>
      <c r="T351" s="11"/>
      <c r="U351" s="11"/>
    </row>
    <row r="352" spans="1:21" x14ac:dyDescent="0.2">
      <c r="A352" s="10"/>
      <c r="B352" s="14"/>
      <c r="R352" s="11"/>
      <c r="S352" s="11"/>
      <c r="T352" s="11"/>
      <c r="U352" s="11"/>
    </row>
    <row r="353" spans="1:21" x14ac:dyDescent="0.2">
      <c r="A353" s="10"/>
      <c r="B353" s="14"/>
      <c r="R353" s="11"/>
      <c r="S353" s="11"/>
      <c r="T353" s="11"/>
      <c r="U353" s="11"/>
    </row>
    <row r="354" spans="1:21" x14ac:dyDescent="0.2">
      <c r="A354" s="10"/>
      <c r="B354" s="14"/>
      <c r="R354" s="11"/>
      <c r="S354" s="11"/>
      <c r="T354" s="11"/>
      <c r="U354" s="11"/>
    </row>
    <row r="355" spans="1:21" x14ac:dyDescent="0.2">
      <c r="A355" s="10"/>
      <c r="B355" s="14"/>
      <c r="R355" s="11"/>
      <c r="S355" s="11"/>
      <c r="T355" s="11"/>
      <c r="U355" s="11"/>
    </row>
    <row r="356" spans="1:21" x14ac:dyDescent="0.2">
      <c r="A356" s="10"/>
      <c r="B356" s="14"/>
      <c r="R356" s="11"/>
      <c r="S356" s="11"/>
      <c r="T356" s="11"/>
      <c r="U356" s="11"/>
    </row>
    <row r="357" spans="1:21" x14ac:dyDescent="0.2">
      <c r="A357" s="10"/>
      <c r="B357" s="14"/>
      <c r="R357" s="11"/>
      <c r="S357" s="11"/>
      <c r="T357" s="11"/>
      <c r="U357" s="11"/>
    </row>
    <row r="358" spans="1:21" x14ac:dyDescent="0.2">
      <c r="A358" s="10"/>
      <c r="B358" s="14"/>
      <c r="R358" s="11"/>
      <c r="S358" s="11"/>
      <c r="T358" s="11"/>
      <c r="U358" s="11"/>
    </row>
    <row r="359" spans="1:21" x14ac:dyDescent="0.2">
      <c r="A359" s="10"/>
      <c r="B359" s="14"/>
      <c r="R359" s="11"/>
      <c r="S359" s="11"/>
      <c r="T359" s="11"/>
      <c r="U359" s="11"/>
    </row>
    <row r="360" spans="1:21" x14ac:dyDescent="0.2">
      <c r="A360" s="10"/>
      <c r="B360" s="14"/>
      <c r="R360" s="11"/>
      <c r="S360" s="11"/>
      <c r="T360" s="11"/>
      <c r="U360" s="11"/>
    </row>
    <row r="361" spans="1:21" x14ac:dyDescent="0.2">
      <c r="A361" s="10"/>
      <c r="B361" s="14"/>
      <c r="R361" s="11"/>
      <c r="S361" s="11"/>
      <c r="T361" s="11"/>
      <c r="U361" s="11"/>
    </row>
    <row r="362" spans="1:21" x14ac:dyDescent="0.2">
      <c r="A362" s="10"/>
      <c r="B362" s="14"/>
      <c r="R362" s="11"/>
      <c r="S362" s="11"/>
      <c r="T362" s="11"/>
      <c r="U362" s="11"/>
    </row>
    <row r="363" spans="1:21" x14ac:dyDescent="0.2">
      <c r="A363" s="10"/>
      <c r="B363" s="14"/>
      <c r="R363" s="11"/>
      <c r="S363" s="11"/>
      <c r="T363" s="11"/>
      <c r="U363" s="11"/>
    </row>
    <row r="364" spans="1:21" x14ac:dyDescent="0.2">
      <c r="A364" s="10"/>
      <c r="B364" s="14"/>
      <c r="R364" s="11"/>
      <c r="S364" s="11"/>
      <c r="T364" s="11"/>
      <c r="U364" s="11"/>
    </row>
    <row r="365" spans="1:21" x14ac:dyDescent="0.2">
      <c r="A365" s="10"/>
      <c r="B365" s="14"/>
      <c r="R365" s="11"/>
      <c r="S365" s="11"/>
      <c r="T365" s="11"/>
      <c r="U365" s="11"/>
    </row>
    <row r="366" spans="1:21" x14ac:dyDescent="0.2">
      <c r="A366" s="10"/>
      <c r="B366" s="14"/>
      <c r="R366" s="11"/>
      <c r="S366" s="11"/>
      <c r="T366" s="11"/>
      <c r="U366" s="11"/>
    </row>
    <row r="367" spans="1:21" x14ac:dyDescent="0.2">
      <c r="A367" s="10"/>
      <c r="B367" s="14"/>
      <c r="R367" s="11"/>
      <c r="S367" s="11"/>
      <c r="T367" s="11"/>
      <c r="U367" s="11"/>
    </row>
    <row r="368" spans="1:21" x14ac:dyDescent="0.2">
      <c r="A368" s="10"/>
      <c r="B368" s="14"/>
      <c r="R368" s="11"/>
      <c r="S368" s="11"/>
      <c r="T368" s="11"/>
      <c r="U368" s="11"/>
    </row>
    <row r="369" spans="1:21" x14ac:dyDescent="0.2">
      <c r="A369" s="10"/>
      <c r="B369" s="14"/>
      <c r="R369" s="11"/>
      <c r="S369" s="11"/>
      <c r="T369" s="11"/>
      <c r="U369" s="11"/>
    </row>
    <row r="370" spans="1:21" x14ac:dyDescent="0.2">
      <c r="A370" s="10"/>
      <c r="B370" s="14"/>
      <c r="R370" s="11"/>
      <c r="S370" s="11"/>
      <c r="T370" s="11"/>
      <c r="U370" s="11"/>
    </row>
    <row r="371" spans="1:21" x14ac:dyDescent="0.2">
      <c r="A371" s="10"/>
      <c r="B371" s="14"/>
      <c r="R371" s="11"/>
      <c r="S371" s="11"/>
      <c r="T371" s="11"/>
      <c r="U371" s="11"/>
    </row>
    <row r="372" spans="1:21" x14ac:dyDescent="0.2">
      <c r="A372" s="10"/>
      <c r="B372" s="14"/>
      <c r="R372" s="11"/>
      <c r="S372" s="11"/>
      <c r="T372" s="11"/>
      <c r="U372" s="11"/>
    </row>
    <row r="373" spans="1:21" x14ac:dyDescent="0.2">
      <c r="A373" s="10"/>
      <c r="B373" s="14"/>
      <c r="R373" s="11"/>
      <c r="S373" s="11"/>
      <c r="T373" s="11"/>
      <c r="U373" s="11"/>
    </row>
    <row r="374" spans="1:21" x14ac:dyDescent="0.2">
      <c r="A374" s="10"/>
      <c r="B374" s="14"/>
      <c r="R374" s="11"/>
      <c r="S374" s="11"/>
      <c r="T374" s="11"/>
      <c r="U374" s="11"/>
    </row>
    <row r="375" spans="1:21" x14ac:dyDescent="0.2">
      <c r="A375" s="10"/>
      <c r="B375" s="14"/>
      <c r="R375" s="11"/>
      <c r="S375" s="11"/>
      <c r="T375" s="11"/>
      <c r="U375" s="11"/>
    </row>
    <row r="376" spans="1:21" x14ac:dyDescent="0.2">
      <c r="A376" s="10"/>
      <c r="B376" s="14"/>
      <c r="R376" s="11"/>
      <c r="S376" s="11"/>
      <c r="T376" s="11"/>
      <c r="U376" s="11"/>
    </row>
    <row r="377" spans="1:21" x14ac:dyDescent="0.2">
      <c r="A377" s="10"/>
      <c r="B377" s="14"/>
      <c r="R377" s="11"/>
      <c r="S377" s="11"/>
      <c r="T377" s="11"/>
      <c r="U377" s="11"/>
    </row>
    <row r="378" spans="1:21" x14ac:dyDescent="0.2">
      <c r="A378" s="10"/>
      <c r="B378" s="14"/>
      <c r="R378" s="11"/>
      <c r="S378" s="11"/>
      <c r="T378" s="11"/>
      <c r="U378" s="11"/>
    </row>
    <row r="379" spans="1:21" x14ac:dyDescent="0.2">
      <c r="A379" s="10"/>
      <c r="B379" s="14"/>
      <c r="R379" s="11"/>
      <c r="S379" s="11"/>
      <c r="T379" s="11"/>
      <c r="U379" s="11"/>
    </row>
    <row r="380" spans="1:21" x14ac:dyDescent="0.2">
      <c r="A380" s="10"/>
      <c r="B380" s="14"/>
      <c r="R380" s="11"/>
      <c r="S380" s="11"/>
      <c r="T380" s="11"/>
      <c r="U380" s="11"/>
    </row>
    <row r="381" spans="1:21" x14ac:dyDescent="0.2">
      <c r="A381" s="10"/>
      <c r="B381" s="14"/>
      <c r="R381" s="11"/>
      <c r="S381" s="11"/>
      <c r="T381" s="11"/>
      <c r="U381" s="11"/>
    </row>
    <row r="382" spans="1:21" x14ac:dyDescent="0.2">
      <c r="A382" s="10"/>
      <c r="B382" s="14"/>
      <c r="R382" s="11"/>
      <c r="S382" s="11"/>
      <c r="T382" s="11"/>
      <c r="U382" s="11"/>
    </row>
    <row r="383" spans="1:21" x14ac:dyDescent="0.2">
      <c r="A383" s="10"/>
      <c r="B383" s="14"/>
      <c r="R383" s="11"/>
      <c r="S383" s="11"/>
      <c r="T383" s="11"/>
      <c r="U383" s="11"/>
    </row>
    <row r="384" spans="1:21" x14ac:dyDescent="0.2">
      <c r="A384" s="10"/>
      <c r="B384" s="14"/>
      <c r="R384" s="11"/>
      <c r="S384" s="11"/>
      <c r="T384" s="11"/>
      <c r="U384" s="11"/>
    </row>
    <row r="385" spans="1:21" x14ac:dyDescent="0.2">
      <c r="A385" s="10"/>
      <c r="B385" s="14"/>
      <c r="R385" s="11"/>
      <c r="S385" s="11"/>
      <c r="T385" s="11"/>
      <c r="U385" s="11"/>
    </row>
    <row r="386" spans="1:21" x14ac:dyDescent="0.2">
      <c r="A386" s="10"/>
      <c r="B386" s="14"/>
      <c r="R386" s="11"/>
      <c r="S386" s="11"/>
      <c r="T386" s="11"/>
      <c r="U386" s="11"/>
    </row>
    <row r="387" spans="1:21" x14ac:dyDescent="0.2">
      <c r="A387" s="10"/>
      <c r="B387" s="14"/>
      <c r="R387" s="11"/>
      <c r="S387" s="11"/>
      <c r="T387" s="11"/>
      <c r="U387" s="11"/>
    </row>
    <row r="388" spans="1:21" x14ac:dyDescent="0.2">
      <c r="A388" s="10"/>
      <c r="B388" s="14"/>
      <c r="R388" s="11"/>
      <c r="S388" s="11"/>
      <c r="T388" s="11"/>
      <c r="U388" s="11"/>
    </row>
    <row r="389" spans="1:21" x14ac:dyDescent="0.2">
      <c r="A389" s="10"/>
      <c r="B389" s="14"/>
      <c r="R389" s="11"/>
      <c r="S389" s="11"/>
      <c r="T389" s="11"/>
      <c r="U389" s="11"/>
    </row>
    <row r="390" spans="1:21" x14ac:dyDescent="0.2">
      <c r="A390" s="10"/>
      <c r="B390" s="14"/>
      <c r="R390" s="11"/>
      <c r="S390" s="11"/>
      <c r="T390" s="11"/>
      <c r="U390" s="11"/>
    </row>
    <row r="391" spans="1:21" x14ac:dyDescent="0.2">
      <c r="A391" s="10"/>
      <c r="B391" s="14"/>
      <c r="R391" s="11"/>
      <c r="S391" s="11"/>
      <c r="T391" s="11"/>
      <c r="U391" s="11"/>
    </row>
    <row r="392" spans="1:21" x14ac:dyDescent="0.2">
      <c r="A392" s="10"/>
      <c r="B392" s="14"/>
      <c r="R392" s="11"/>
      <c r="S392" s="11"/>
      <c r="T392" s="11"/>
      <c r="U392" s="11"/>
    </row>
    <row r="393" spans="1:21" x14ac:dyDescent="0.2">
      <c r="A393" s="10"/>
      <c r="B393" s="14"/>
      <c r="R393" s="11"/>
      <c r="S393" s="11"/>
      <c r="T393" s="11"/>
      <c r="U393" s="11"/>
    </row>
    <row r="394" spans="1:21" x14ac:dyDescent="0.2">
      <c r="A394" s="10"/>
      <c r="B394" s="14"/>
      <c r="R394" s="11"/>
      <c r="S394" s="11"/>
      <c r="T394" s="11"/>
      <c r="U394" s="11"/>
    </row>
    <row r="395" spans="1:21" x14ac:dyDescent="0.2">
      <c r="A395" s="10"/>
      <c r="B395" s="14"/>
      <c r="R395" s="11"/>
      <c r="S395" s="11"/>
      <c r="T395" s="11"/>
      <c r="U395" s="11"/>
    </row>
    <row r="396" spans="1:21" x14ac:dyDescent="0.2">
      <c r="A396" s="10"/>
      <c r="B396" s="14"/>
      <c r="R396" s="11"/>
      <c r="S396" s="11"/>
      <c r="T396" s="11"/>
      <c r="U396" s="11"/>
    </row>
    <row r="397" spans="1:21" x14ac:dyDescent="0.2">
      <c r="A397" s="10"/>
      <c r="B397" s="14"/>
      <c r="R397" s="11"/>
      <c r="S397" s="11"/>
      <c r="T397" s="11"/>
      <c r="U397" s="11"/>
    </row>
    <row r="398" spans="1:21" x14ac:dyDescent="0.2">
      <c r="A398" s="10"/>
      <c r="B398" s="14"/>
      <c r="R398" s="11"/>
      <c r="S398" s="11"/>
      <c r="T398" s="11"/>
      <c r="U398" s="11"/>
    </row>
    <row r="399" spans="1:21" x14ac:dyDescent="0.2">
      <c r="A399" s="10"/>
      <c r="B399" s="14"/>
      <c r="R399" s="11"/>
      <c r="S399" s="11"/>
      <c r="T399" s="11"/>
      <c r="U399" s="11"/>
    </row>
    <row r="400" spans="1:21" x14ac:dyDescent="0.2">
      <c r="A400" s="10"/>
      <c r="B400" s="14"/>
      <c r="R400" s="11"/>
      <c r="S400" s="11"/>
      <c r="T400" s="11"/>
      <c r="U400" s="11"/>
    </row>
    <row r="401" spans="1:21" x14ac:dyDescent="0.2">
      <c r="A401" s="10"/>
      <c r="B401" s="14"/>
      <c r="R401" s="11"/>
      <c r="S401" s="11"/>
      <c r="T401" s="11"/>
      <c r="U401" s="11"/>
    </row>
    <row r="402" spans="1:21" x14ac:dyDescent="0.2">
      <c r="A402" s="10"/>
      <c r="B402" s="14"/>
      <c r="R402" s="11"/>
      <c r="S402" s="11"/>
      <c r="T402" s="11"/>
      <c r="U402" s="11"/>
    </row>
    <row r="403" spans="1:21" x14ac:dyDescent="0.2">
      <c r="A403" s="10"/>
      <c r="B403" s="14"/>
      <c r="R403" s="11"/>
      <c r="S403" s="11"/>
      <c r="T403" s="11"/>
      <c r="U403" s="11"/>
    </row>
    <row r="404" spans="1:21" x14ac:dyDescent="0.2">
      <c r="A404" s="10"/>
      <c r="B404" s="14"/>
      <c r="R404" s="11"/>
      <c r="S404" s="11"/>
      <c r="T404" s="11"/>
      <c r="U404" s="11"/>
    </row>
    <row r="405" spans="1:21" x14ac:dyDescent="0.2">
      <c r="A405" s="10"/>
      <c r="B405" s="14"/>
      <c r="R405" s="11"/>
      <c r="S405" s="11"/>
      <c r="T405" s="11"/>
      <c r="U405" s="11"/>
    </row>
    <row r="406" spans="1:21" x14ac:dyDescent="0.2">
      <c r="A406" s="10"/>
      <c r="B406" s="14"/>
      <c r="R406" s="11"/>
      <c r="S406" s="11"/>
      <c r="T406" s="11"/>
      <c r="U406" s="11"/>
    </row>
    <row r="407" spans="1:21" x14ac:dyDescent="0.2">
      <c r="A407" s="10"/>
      <c r="B407" s="14"/>
      <c r="R407" s="11"/>
      <c r="S407" s="11"/>
      <c r="T407" s="11"/>
      <c r="U407" s="11"/>
    </row>
    <row r="408" spans="1:21" x14ac:dyDescent="0.2">
      <c r="A408" s="10"/>
      <c r="B408" s="14"/>
      <c r="R408" s="11"/>
      <c r="S408" s="11"/>
      <c r="T408" s="11"/>
      <c r="U408" s="11"/>
    </row>
    <row r="409" spans="1:21" x14ac:dyDescent="0.2">
      <c r="A409" s="10"/>
      <c r="B409" s="14"/>
      <c r="R409" s="11"/>
      <c r="S409" s="11"/>
      <c r="T409" s="11"/>
      <c r="U409" s="11"/>
    </row>
    <row r="410" spans="1:21" x14ac:dyDescent="0.2">
      <c r="A410" s="10"/>
      <c r="B410" s="14"/>
      <c r="R410" s="11"/>
      <c r="S410" s="11"/>
      <c r="T410" s="11"/>
      <c r="U410" s="11"/>
    </row>
    <row r="411" spans="1:21" x14ac:dyDescent="0.2">
      <c r="A411" s="10"/>
      <c r="B411" s="14"/>
      <c r="R411" s="11"/>
      <c r="S411" s="11"/>
      <c r="T411" s="11"/>
      <c r="U411" s="11"/>
    </row>
    <row r="412" spans="1:21" x14ac:dyDescent="0.2">
      <c r="A412" s="10"/>
      <c r="B412" s="14"/>
      <c r="R412" s="11"/>
      <c r="S412" s="11"/>
      <c r="T412" s="11"/>
      <c r="U412" s="11"/>
    </row>
    <row r="413" spans="1:21" x14ac:dyDescent="0.2">
      <c r="A413" s="10"/>
      <c r="B413" s="14"/>
      <c r="R413" s="11"/>
      <c r="S413" s="11"/>
      <c r="T413" s="11"/>
      <c r="U413" s="11"/>
    </row>
    <row r="414" spans="1:21" x14ac:dyDescent="0.2">
      <c r="A414" s="10"/>
      <c r="B414" s="14"/>
      <c r="R414" s="11"/>
      <c r="S414" s="11"/>
      <c r="T414" s="11"/>
      <c r="U414" s="11"/>
    </row>
    <row r="415" spans="1:21" x14ac:dyDescent="0.2">
      <c r="A415" s="10"/>
      <c r="B415" s="14"/>
      <c r="R415" s="11"/>
      <c r="S415" s="11"/>
      <c r="T415" s="11"/>
      <c r="U415" s="11"/>
    </row>
    <row r="416" spans="1:21" x14ac:dyDescent="0.2">
      <c r="A416" s="10"/>
      <c r="B416" s="14"/>
      <c r="R416" s="11"/>
      <c r="S416" s="11"/>
      <c r="T416" s="11"/>
      <c r="U416" s="11"/>
    </row>
    <row r="417" spans="1:21" x14ac:dyDescent="0.2">
      <c r="A417" s="10"/>
      <c r="B417" s="14"/>
      <c r="R417" s="11"/>
      <c r="S417" s="11"/>
      <c r="T417" s="11"/>
      <c r="U417" s="11"/>
    </row>
    <row r="418" spans="1:21" x14ac:dyDescent="0.2">
      <c r="A418" s="10"/>
      <c r="B418" s="14"/>
      <c r="R418" s="11"/>
      <c r="S418" s="11"/>
      <c r="T418" s="11"/>
      <c r="U418" s="11"/>
    </row>
    <row r="419" spans="1:21" x14ac:dyDescent="0.2">
      <c r="A419" s="10"/>
      <c r="B419" s="14"/>
      <c r="R419" s="11"/>
      <c r="S419" s="11"/>
      <c r="T419" s="11"/>
      <c r="U419" s="11"/>
    </row>
    <row r="420" spans="1:21" x14ac:dyDescent="0.2">
      <c r="A420" s="10"/>
      <c r="B420" s="14"/>
      <c r="R420" s="11"/>
      <c r="S420" s="11"/>
      <c r="T420" s="11"/>
      <c r="U420" s="11"/>
    </row>
    <row r="421" spans="1:21" x14ac:dyDescent="0.2">
      <c r="A421" s="10"/>
      <c r="B421" s="14"/>
      <c r="R421" s="11"/>
      <c r="S421" s="11"/>
      <c r="T421" s="11"/>
      <c r="U421" s="11"/>
    </row>
    <row r="422" spans="1:21" x14ac:dyDescent="0.2">
      <c r="A422" s="10"/>
      <c r="B422" s="14"/>
      <c r="R422" s="11"/>
      <c r="S422" s="11"/>
      <c r="T422" s="11"/>
      <c r="U422" s="11"/>
    </row>
    <row r="423" spans="1:21" x14ac:dyDescent="0.2">
      <c r="A423" s="10"/>
      <c r="B423" s="14"/>
      <c r="R423" s="11"/>
      <c r="S423" s="11"/>
      <c r="T423" s="11"/>
      <c r="U423" s="11"/>
    </row>
    <row r="424" spans="1:21" x14ac:dyDescent="0.2">
      <c r="A424" s="10"/>
      <c r="B424" s="14"/>
      <c r="R424" s="11"/>
      <c r="S424" s="11"/>
      <c r="T424" s="11"/>
      <c r="U424" s="11"/>
    </row>
    <row r="425" spans="1:21" x14ac:dyDescent="0.2">
      <c r="A425" s="10"/>
      <c r="B425" s="14"/>
      <c r="R425" s="11"/>
      <c r="S425" s="11"/>
      <c r="T425" s="11"/>
      <c r="U425" s="11"/>
    </row>
    <row r="426" spans="1:21" x14ac:dyDescent="0.2">
      <c r="A426" s="10"/>
      <c r="B426" s="14"/>
      <c r="R426" s="11"/>
      <c r="S426" s="11"/>
      <c r="T426" s="11"/>
      <c r="U426" s="11"/>
    </row>
    <row r="427" spans="1:21" x14ac:dyDescent="0.2">
      <c r="A427" s="10"/>
      <c r="B427" s="14"/>
      <c r="R427" s="11"/>
      <c r="S427" s="11"/>
      <c r="T427" s="11"/>
      <c r="U427" s="11"/>
    </row>
    <row r="428" spans="1:21" x14ac:dyDescent="0.2">
      <c r="A428" s="10"/>
      <c r="B428" s="14"/>
      <c r="R428" s="11"/>
      <c r="S428" s="11"/>
      <c r="T428" s="11"/>
      <c r="U428" s="11"/>
    </row>
    <row r="429" spans="1:21" x14ac:dyDescent="0.2">
      <c r="A429" s="10"/>
      <c r="B429" s="14"/>
      <c r="R429" s="11"/>
      <c r="S429" s="11"/>
      <c r="T429" s="11"/>
      <c r="U429" s="11"/>
    </row>
    <row r="430" spans="1:21" x14ac:dyDescent="0.2">
      <c r="A430" s="10"/>
      <c r="B430" s="14"/>
      <c r="R430" s="11"/>
      <c r="S430" s="11"/>
      <c r="T430" s="11"/>
      <c r="U430" s="11"/>
    </row>
    <row r="431" spans="1:21" x14ac:dyDescent="0.2">
      <c r="A431" s="10"/>
      <c r="B431" s="14"/>
      <c r="R431" s="11"/>
      <c r="S431" s="11"/>
      <c r="T431" s="11"/>
      <c r="U431" s="11"/>
    </row>
    <row r="432" spans="1:21" x14ac:dyDescent="0.2">
      <c r="A432" s="10"/>
      <c r="B432" s="14"/>
      <c r="R432" s="11"/>
      <c r="S432" s="11"/>
      <c r="T432" s="11"/>
      <c r="U432" s="11"/>
    </row>
    <row r="433" spans="1:21" x14ac:dyDescent="0.2">
      <c r="A433" s="10"/>
      <c r="B433" s="14"/>
      <c r="R433" s="11"/>
      <c r="S433" s="11"/>
      <c r="T433" s="11"/>
      <c r="U433" s="11"/>
    </row>
    <row r="434" spans="1:21" x14ac:dyDescent="0.2">
      <c r="A434" s="10"/>
      <c r="B434" s="14"/>
      <c r="R434" s="11"/>
      <c r="S434" s="11"/>
      <c r="T434" s="11"/>
      <c r="U434" s="11"/>
    </row>
    <row r="435" spans="1:21" x14ac:dyDescent="0.2">
      <c r="A435" s="10"/>
      <c r="B435" s="14"/>
      <c r="R435" s="11"/>
      <c r="S435" s="11"/>
      <c r="T435" s="11"/>
      <c r="U435" s="11"/>
    </row>
    <row r="436" spans="1:21" x14ac:dyDescent="0.2">
      <c r="A436" s="10"/>
      <c r="B436" s="14"/>
      <c r="R436" s="11"/>
      <c r="S436" s="11"/>
      <c r="T436" s="11"/>
      <c r="U436" s="11"/>
    </row>
    <row r="437" spans="1:21" x14ac:dyDescent="0.2">
      <c r="A437" s="10"/>
      <c r="B437" s="14"/>
      <c r="R437" s="11"/>
      <c r="S437" s="11"/>
      <c r="T437" s="11"/>
      <c r="U437" s="11"/>
    </row>
    <row r="438" spans="1:21" x14ac:dyDescent="0.2">
      <c r="A438" s="10"/>
      <c r="B438" s="14"/>
      <c r="R438" s="11"/>
      <c r="S438" s="11"/>
      <c r="T438" s="11"/>
      <c r="U438" s="11"/>
    </row>
    <row r="439" spans="1:21" x14ac:dyDescent="0.2">
      <c r="A439" s="10"/>
      <c r="B439" s="14"/>
      <c r="R439" s="11"/>
      <c r="S439" s="11"/>
      <c r="T439" s="11"/>
      <c r="U439" s="11"/>
    </row>
    <row r="440" spans="1:21" x14ac:dyDescent="0.2">
      <c r="A440" s="10"/>
      <c r="B440" s="14"/>
      <c r="R440" s="11"/>
      <c r="S440" s="11"/>
      <c r="T440" s="11"/>
      <c r="U440" s="11"/>
    </row>
    <row r="441" spans="1:21" x14ac:dyDescent="0.2">
      <c r="A441" s="10"/>
      <c r="B441" s="14"/>
      <c r="R441" s="11"/>
      <c r="S441" s="11"/>
      <c r="T441" s="11"/>
      <c r="U441" s="11"/>
    </row>
    <row r="442" spans="1:21" x14ac:dyDescent="0.2">
      <c r="A442" s="10"/>
      <c r="B442" s="14"/>
      <c r="R442" s="11"/>
      <c r="S442" s="11"/>
      <c r="T442" s="11"/>
      <c r="U442" s="11"/>
    </row>
    <row r="443" spans="1:21" x14ac:dyDescent="0.2">
      <c r="A443" s="10"/>
      <c r="B443" s="14"/>
      <c r="R443" s="11"/>
      <c r="S443" s="11"/>
      <c r="T443" s="11"/>
      <c r="U443" s="11"/>
    </row>
    <row r="444" spans="1:21" x14ac:dyDescent="0.2">
      <c r="A444" s="10"/>
      <c r="B444" s="14"/>
      <c r="R444" s="11"/>
      <c r="S444" s="11"/>
      <c r="T444" s="11"/>
      <c r="U444" s="11"/>
    </row>
    <row r="445" spans="1:21" x14ac:dyDescent="0.2">
      <c r="A445" s="10"/>
      <c r="B445" s="14"/>
      <c r="R445" s="11"/>
      <c r="S445" s="11"/>
      <c r="T445" s="11"/>
      <c r="U445" s="11"/>
    </row>
    <row r="446" spans="1:21" x14ac:dyDescent="0.2">
      <c r="A446" s="10"/>
      <c r="B446" s="14"/>
      <c r="R446" s="11"/>
      <c r="S446" s="11"/>
      <c r="T446" s="11"/>
      <c r="U446" s="11"/>
    </row>
    <row r="447" spans="1:21" x14ac:dyDescent="0.2">
      <c r="A447" s="10"/>
      <c r="B447" s="14"/>
      <c r="R447" s="11"/>
      <c r="S447" s="11"/>
      <c r="T447" s="11"/>
      <c r="U447" s="11"/>
    </row>
    <row r="448" spans="1:21" x14ac:dyDescent="0.2">
      <c r="A448" s="10"/>
      <c r="B448" s="14"/>
      <c r="R448" s="11"/>
      <c r="S448" s="11"/>
      <c r="T448" s="11"/>
      <c r="U448" s="11"/>
    </row>
    <row r="449" spans="1:21" x14ac:dyDescent="0.2">
      <c r="A449" s="10"/>
      <c r="B449" s="14"/>
      <c r="R449" s="11"/>
      <c r="S449" s="11"/>
      <c r="T449" s="11"/>
      <c r="U449" s="11"/>
    </row>
    <row r="450" spans="1:21" x14ac:dyDescent="0.2">
      <c r="A450" s="10"/>
      <c r="B450" s="14"/>
      <c r="R450" s="11"/>
      <c r="S450" s="11"/>
      <c r="T450" s="11"/>
      <c r="U450" s="11"/>
    </row>
    <row r="451" spans="1:21" x14ac:dyDescent="0.2">
      <c r="A451" s="10"/>
      <c r="B451" s="14"/>
      <c r="R451" s="11"/>
      <c r="S451" s="11"/>
      <c r="T451" s="11"/>
      <c r="U451" s="11"/>
    </row>
    <row r="452" spans="1:21" x14ac:dyDescent="0.2">
      <c r="A452" s="10"/>
      <c r="B452" s="14"/>
      <c r="R452" s="11"/>
      <c r="S452" s="11"/>
      <c r="T452" s="11"/>
      <c r="U452" s="11"/>
    </row>
    <row r="453" spans="1:21" x14ac:dyDescent="0.2">
      <c r="A453" s="10"/>
      <c r="B453" s="14"/>
      <c r="R453" s="11"/>
      <c r="S453" s="11"/>
      <c r="T453" s="11"/>
      <c r="U453" s="11"/>
    </row>
    <row r="454" spans="1:21" x14ac:dyDescent="0.2">
      <c r="A454" s="10"/>
      <c r="B454" s="14"/>
      <c r="R454" s="11"/>
      <c r="S454" s="11"/>
      <c r="T454" s="11"/>
      <c r="U454" s="11"/>
    </row>
    <row r="455" spans="1:21" x14ac:dyDescent="0.2">
      <c r="A455" s="10"/>
      <c r="B455" s="14"/>
      <c r="R455" s="11"/>
      <c r="S455" s="11"/>
      <c r="T455" s="11"/>
      <c r="U455" s="11"/>
    </row>
    <row r="456" spans="1:21" x14ac:dyDescent="0.2">
      <c r="A456" s="10"/>
      <c r="B456" s="14"/>
      <c r="R456" s="11"/>
      <c r="S456" s="11"/>
      <c r="T456" s="11"/>
      <c r="U456" s="11"/>
    </row>
    <row r="457" spans="1:21" x14ac:dyDescent="0.2">
      <c r="A457" s="10"/>
      <c r="B457" s="14"/>
      <c r="R457" s="11"/>
      <c r="S457" s="11"/>
      <c r="T457" s="11"/>
      <c r="U457" s="11"/>
    </row>
    <row r="458" spans="1:21" x14ac:dyDescent="0.2">
      <c r="A458" s="10"/>
      <c r="B458" s="14"/>
      <c r="R458" s="11"/>
      <c r="S458" s="11"/>
      <c r="T458" s="11"/>
      <c r="U458" s="11"/>
    </row>
    <row r="459" spans="1:21" x14ac:dyDescent="0.2">
      <c r="A459" s="10"/>
      <c r="B459" s="14"/>
      <c r="R459" s="11"/>
      <c r="S459" s="11"/>
      <c r="T459" s="11"/>
      <c r="U459" s="11"/>
    </row>
    <row r="460" spans="1:21" x14ac:dyDescent="0.2">
      <c r="A460" s="10"/>
      <c r="B460" s="14"/>
      <c r="R460" s="11"/>
      <c r="S460" s="11"/>
      <c r="T460" s="11"/>
      <c r="U460" s="11"/>
    </row>
    <row r="461" spans="1:21" x14ac:dyDescent="0.2">
      <c r="A461" s="10"/>
      <c r="B461" s="14"/>
      <c r="R461" s="11"/>
      <c r="S461" s="11"/>
      <c r="T461" s="11"/>
      <c r="U461" s="11"/>
    </row>
    <row r="462" spans="1:21" x14ac:dyDescent="0.2">
      <c r="A462" s="10"/>
      <c r="B462" s="14"/>
      <c r="R462" s="11"/>
      <c r="S462" s="11"/>
      <c r="T462" s="11"/>
      <c r="U462" s="11"/>
    </row>
    <row r="463" spans="1:21" x14ac:dyDescent="0.2">
      <c r="A463" s="10"/>
      <c r="B463" s="14"/>
      <c r="R463" s="11"/>
      <c r="S463" s="11"/>
      <c r="T463" s="11"/>
      <c r="U463" s="11"/>
    </row>
    <row r="464" spans="1:21" x14ac:dyDescent="0.2">
      <c r="A464" s="10"/>
      <c r="B464" s="14"/>
      <c r="R464" s="11"/>
      <c r="S464" s="11"/>
      <c r="T464" s="11"/>
      <c r="U464" s="11"/>
    </row>
    <row r="465" spans="1:21" x14ac:dyDescent="0.2">
      <c r="A465" s="10"/>
      <c r="B465" s="14"/>
      <c r="R465" s="11"/>
      <c r="S465" s="11"/>
      <c r="T465" s="11"/>
      <c r="U465" s="11"/>
    </row>
    <row r="466" spans="1:21" x14ac:dyDescent="0.2">
      <c r="A466" s="10"/>
      <c r="B466" s="14"/>
      <c r="R466" s="11"/>
      <c r="S466" s="11"/>
      <c r="T466" s="11"/>
      <c r="U466" s="11"/>
    </row>
    <row r="467" spans="1:21" x14ac:dyDescent="0.2">
      <c r="A467" s="10"/>
      <c r="B467" s="14"/>
      <c r="R467" s="11"/>
      <c r="S467" s="11"/>
      <c r="T467" s="11"/>
      <c r="U467" s="11"/>
    </row>
    <row r="468" spans="1:21" x14ac:dyDescent="0.2">
      <c r="A468" s="10"/>
      <c r="B468" s="14"/>
      <c r="R468" s="11"/>
      <c r="S468" s="11"/>
      <c r="T468" s="11"/>
      <c r="U468" s="11"/>
    </row>
    <row r="469" spans="1:21" x14ac:dyDescent="0.2">
      <c r="A469" s="10"/>
      <c r="B469" s="14"/>
      <c r="R469" s="11"/>
      <c r="S469" s="11"/>
      <c r="T469" s="11"/>
      <c r="U469" s="11"/>
    </row>
    <row r="470" spans="1:21" x14ac:dyDescent="0.2">
      <c r="A470" s="10"/>
      <c r="B470" s="14"/>
      <c r="R470" s="11"/>
      <c r="S470" s="11"/>
      <c r="T470" s="11"/>
      <c r="U470" s="11"/>
    </row>
    <row r="471" spans="1:21" x14ac:dyDescent="0.2">
      <c r="A471" s="10"/>
      <c r="B471" s="14"/>
      <c r="R471" s="11"/>
      <c r="S471" s="11"/>
      <c r="T471" s="11"/>
      <c r="U471" s="11"/>
    </row>
    <row r="472" spans="1:21" x14ac:dyDescent="0.2">
      <c r="A472" s="10"/>
      <c r="B472" s="14"/>
      <c r="R472" s="11"/>
      <c r="S472" s="11"/>
      <c r="T472" s="11"/>
      <c r="U472" s="11"/>
    </row>
    <row r="473" spans="1:21" x14ac:dyDescent="0.2">
      <c r="A473" s="10"/>
      <c r="B473" s="14"/>
      <c r="R473" s="11"/>
      <c r="S473" s="11"/>
      <c r="T473" s="11"/>
      <c r="U473" s="11"/>
    </row>
    <row r="474" spans="1:21" x14ac:dyDescent="0.2">
      <c r="A474" s="10"/>
      <c r="B474" s="14"/>
      <c r="R474" s="11"/>
      <c r="S474" s="11"/>
      <c r="T474" s="11"/>
      <c r="U474" s="11"/>
    </row>
    <row r="475" spans="1:21" x14ac:dyDescent="0.2">
      <c r="A475" s="10"/>
      <c r="B475" s="14"/>
      <c r="R475" s="11"/>
      <c r="S475" s="11"/>
      <c r="T475" s="11"/>
      <c r="U475" s="11"/>
    </row>
    <row r="476" spans="1:21" x14ac:dyDescent="0.2">
      <c r="A476" s="10"/>
      <c r="B476" s="14"/>
      <c r="R476" s="11"/>
      <c r="S476" s="11"/>
      <c r="T476" s="11"/>
      <c r="U476" s="11"/>
    </row>
    <row r="477" spans="1:21" x14ac:dyDescent="0.2">
      <c r="A477" s="10"/>
      <c r="B477" s="14"/>
      <c r="R477" s="11"/>
      <c r="S477" s="11"/>
      <c r="T477" s="11"/>
      <c r="U477" s="11"/>
    </row>
    <row r="478" spans="1:21" x14ac:dyDescent="0.2">
      <c r="A478" s="10"/>
      <c r="B478" s="14"/>
      <c r="R478" s="11"/>
      <c r="S478" s="11"/>
      <c r="T478" s="11"/>
      <c r="U478" s="11"/>
    </row>
    <row r="479" spans="1:21" x14ac:dyDescent="0.2">
      <c r="A479" s="10"/>
      <c r="B479" s="14"/>
      <c r="R479" s="11"/>
      <c r="S479" s="11"/>
      <c r="T479" s="11"/>
      <c r="U479" s="11"/>
    </row>
    <row r="480" spans="1:21" x14ac:dyDescent="0.2">
      <c r="A480" s="10"/>
      <c r="B480" s="14"/>
    </row>
    <row r="481" spans="1:2" x14ac:dyDescent="0.2">
      <c r="A481" s="10"/>
      <c r="B481" s="14"/>
    </row>
    <row r="482" spans="1:2" x14ac:dyDescent="0.2">
      <c r="A482" s="10"/>
      <c r="B482" s="14"/>
    </row>
    <row r="483" spans="1:2" x14ac:dyDescent="0.2">
      <c r="A483" s="10"/>
      <c r="B483" s="14"/>
    </row>
    <row r="484" spans="1:2" x14ac:dyDescent="0.2">
      <c r="A484" s="10"/>
      <c r="B484" s="14"/>
    </row>
    <row r="485" spans="1:2" x14ac:dyDescent="0.2">
      <c r="A485" s="10"/>
      <c r="B485" s="14"/>
    </row>
    <row r="486" spans="1:2" x14ac:dyDescent="0.2">
      <c r="A486" s="10"/>
      <c r="B486" s="14"/>
    </row>
    <row r="487" spans="1:2" x14ac:dyDescent="0.2">
      <c r="A487" s="10"/>
      <c r="B487" s="14"/>
    </row>
    <row r="488" spans="1:2" x14ac:dyDescent="0.2">
      <c r="A488" s="10"/>
      <c r="B488" s="14"/>
    </row>
    <row r="489" spans="1:2" x14ac:dyDescent="0.2">
      <c r="A489" s="10"/>
      <c r="B489" s="14"/>
    </row>
    <row r="490" spans="1:2" x14ac:dyDescent="0.2">
      <c r="A490" s="10"/>
      <c r="B490" s="14"/>
    </row>
    <row r="491" spans="1:2" x14ac:dyDescent="0.2">
      <c r="A491" s="10"/>
      <c r="B491" s="14"/>
    </row>
    <row r="492" spans="1:2" x14ac:dyDescent="0.2">
      <c r="A492" s="10"/>
      <c r="B492" s="14"/>
    </row>
    <row r="493" spans="1:2" x14ac:dyDescent="0.2">
      <c r="A493" s="10"/>
      <c r="B493" s="14"/>
    </row>
    <row r="494" spans="1:2" x14ac:dyDescent="0.2">
      <c r="A494" s="10"/>
      <c r="B494" s="14"/>
    </row>
    <row r="495" spans="1:2" x14ac:dyDescent="0.2">
      <c r="A495" s="10"/>
      <c r="B495" s="14"/>
    </row>
    <row r="496" spans="1:2" x14ac:dyDescent="0.2">
      <c r="A496" s="10"/>
      <c r="B496" s="14"/>
    </row>
    <row r="497" spans="1:2" x14ac:dyDescent="0.2">
      <c r="A497" s="10"/>
      <c r="B497" s="14"/>
    </row>
    <row r="498" spans="1:2" x14ac:dyDescent="0.2">
      <c r="A498" s="10"/>
      <c r="B498" s="14"/>
    </row>
    <row r="499" spans="1:2" x14ac:dyDescent="0.2">
      <c r="A499" s="10"/>
      <c r="B499" s="14"/>
    </row>
    <row r="500" spans="1:2" x14ac:dyDescent="0.2">
      <c r="A500" s="10"/>
      <c r="B500" s="14"/>
    </row>
    <row r="501" spans="1:2" x14ac:dyDescent="0.2">
      <c r="A501" s="10"/>
      <c r="B501" s="14"/>
    </row>
    <row r="502" spans="1:2" x14ac:dyDescent="0.2">
      <c r="A502" s="10"/>
      <c r="B502" s="14"/>
    </row>
    <row r="503" spans="1:2" x14ac:dyDescent="0.2">
      <c r="A503" s="10"/>
      <c r="B503" s="14"/>
    </row>
    <row r="504" spans="1:2" x14ac:dyDescent="0.2">
      <c r="A504" s="10"/>
      <c r="B504" s="14"/>
    </row>
    <row r="505" spans="1:2" x14ac:dyDescent="0.2">
      <c r="A505" s="10"/>
      <c r="B505" s="14"/>
    </row>
    <row r="506" spans="1:2" x14ac:dyDescent="0.2">
      <c r="A506" s="10"/>
      <c r="B506" s="14"/>
    </row>
    <row r="507" spans="1:2" x14ac:dyDescent="0.2">
      <c r="A507" s="10"/>
      <c r="B507" s="14"/>
    </row>
    <row r="508" spans="1:2" x14ac:dyDescent="0.2">
      <c r="A508" s="10"/>
      <c r="B508" s="14"/>
    </row>
    <row r="509" spans="1:2" x14ac:dyDescent="0.2">
      <c r="A509" s="10"/>
      <c r="B509" s="14"/>
    </row>
    <row r="510" spans="1:2" x14ac:dyDescent="0.2">
      <c r="A510" s="10"/>
      <c r="B510" s="14"/>
    </row>
    <row r="511" spans="1:2" x14ac:dyDescent="0.2">
      <c r="A511" s="10"/>
      <c r="B511" s="14"/>
    </row>
    <row r="512" spans="1:2" x14ac:dyDescent="0.2">
      <c r="A512" s="10"/>
      <c r="B512" s="14"/>
    </row>
    <row r="513" spans="1:2" x14ac:dyDescent="0.2">
      <c r="A513" s="10"/>
      <c r="B513" s="14"/>
    </row>
    <row r="514" spans="1:2" x14ac:dyDescent="0.2">
      <c r="A514" s="10"/>
      <c r="B514" s="14"/>
    </row>
    <row r="515" spans="1:2" x14ac:dyDescent="0.2">
      <c r="A515" s="10"/>
      <c r="B515" s="14"/>
    </row>
    <row r="516" spans="1:2" x14ac:dyDescent="0.2">
      <c r="A516" s="10"/>
      <c r="B516" s="14"/>
    </row>
    <row r="517" spans="1:2" x14ac:dyDescent="0.2">
      <c r="A517" s="10"/>
      <c r="B517" s="14"/>
    </row>
    <row r="518" spans="1:2" x14ac:dyDescent="0.2">
      <c r="A518" s="10"/>
      <c r="B518" s="14"/>
    </row>
    <row r="519" spans="1:2" x14ac:dyDescent="0.2">
      <c r="A519" s="10"/>
      <c r="B519" s="14"/>
    </row>
    <row r="520" spans="1:2" x14ac:dyDescent="0.2">
      <c r="A520" s="10"/>
      <c r="B520" s="14"/>
    </row>
    <row r="521" spans="1:2" x14ac:dyDescent="0.2">
      <c r="A521" s="10"/>
      <c r="B521" s="14"/>
    </row>
    <row r="522" spans="1:2" x14ac:dyDescent="0.2">
      <c r="A522" s="10"/>
      <c r="B522" s="14"/>
    </row>
    <row r="523" spans="1:2" x14ac:dyDescent="0.2">
      <c r="A523" s="10"/>
      <c r="B523" s="14"/>
    </row>
    <row r="524" spans="1:2" x14ac:dyDescent="0.2">
      <c r="A524" s="10"/>
      <c r="B524" s="14"/>
    </row>
    <row r="525" spans="1:2" x14ac:dyDescent="0.2">
      <c r="A525" s="10"/>
      <c r="B525" s="14"/>
    </row>
    <row r="526" spans="1:2" x14ac:dyDescent="0.2">
      <c r="A526" s="10"/>
      <c r="B526" s="14"/>
    </row>
    <row r="527" spans="1:2" x14ac:dyDescent="0.2">
      <c r="A527" s="10"/>
      <c r="B527" s="14"/>
    </row>
    <row r="528" spans="1:2" x14ac:dyDescent="0.2">
      <c r="A528" s="10"/>
      <c r="B528" s="14"/>
    </row>
    <row r="529" spans="1:2" x14ac:dyDescent="0.2">
      <c r="A529" s="10"/>
      <c r="B529" s="14"/>
    </row>
    <row r="530" spans="1:2" x14ac:dyDescent="0.2">
      <c r="A530" s="10"/>
      <c r="B530" s="14"/>
    </row>
    <row r="531" spans="1:2" x14ac:dyDescent="0.2">
      <c r="A531" s="10"/>
      <c r="B531" s="14"/>
    </row>
    <row r="532" spans="1:2" x14ac:dyDescent="0.2">
      <c r="A532" s="10"/>
      <c r="B532" s="14"/>
    </row>
    <row r="533" spans="1:2" x14ac:dyDescent="0.2">
      <c r="A533" s="10"/>
      <c r="B533" s="14"/>
    </row>
    <row r="534" spans="1:2" x14ac:dyDescent="0.2">
      <c r="A534" s="10"/>
      <c r="B534" s="14"/>
    </row>
    <row r="535" spans="1:2" x14ac:dyDescent="0.2">
      <c r="A535" s="10"/>
      <c r="B535" s="14"/>
    </row>
    <row r="536" spans="1:2" x14ac:dyDescent="0.2">
      <c r="A536" s="10"/>
      <c r="B536" s="14"/>
    </row>
    <row r="537" spans="1:2" x14ac:dyDescent="0.2">
      <c r="A537" s="10"/>
      <c r="B537" s="14"/>
    </row>
    <row r="538" spans="1:2" x14ac:dyDescent="0.2">
      <c r="A538" s="10"/>
      <c r="B538" s="14"/>
    </row>
    <row r="539" spans="1:2" x14ac:dyDescent="0.2">
      <c r="A539" s="10"/>
      <c r="B539" s="14"/>
    </row>
    <row r="540" spans="1:2" x14ac:dyDescent="0.2">
      <c r="A540" s="10"/>
      <c r="B540" s="14"/>
    </row>
    <row r="541" spans="1:2" x14ac:dyDescent="0.2">
      <c r="A541" s="10"/>
      <c r="B541" s="14"/>
    </row>
    <row r="542" spans="1:2" x14ac:dyDescent="0.2">
      <c r="A542" s="10"/>
      <c r="B542" s="14"/>
    </row>
    <row r="543" spans="1:2" x14ac:dyDescent="0.2">
      <c r="A543" s="10"/>
      <c r="B543" s="14"/>
    </row>
    <row r="544" spans="1:2" x14ac:dyDescent="0.2">
      <c r="A544" s="10"/>
      <c r="B544" s="14"/>
    </row>
    <row r="545" spans="1:2" x14ac:dyDescent="0.2">
      <c r="A545" s="10"/>
      <c r="B545" s="14"/>
    </row>
    <row r="546" spans="1:2" x14ac:dyDescent="0.2">
      <c r="A546" s="10"/>
      <c r="B546" s="14"/>
    </row>
    <row r="547" spans="1:2" x14ac:dyDescent="0.2">
      <c r="A547" s="10"/>
      <c r="B547" s="14"/>
    </row>
    <row r="548" spans="1:2" x14ac:dyDescent="0.2">
      <c r="A548" s="10"/>
      <c r="B548" s="14"/>
    </row>
    <row r="549" spans="1:2" x14ac:dyDescent="0.2">
      <c r="A549" s="10"/>
      <c r="B549" s="14"/>
    </row>
    <row r="550" spans="1:2" x14ac:dyDescent="0.2">
      <c r="A550" s="10"/>
      <c r="B550" s="14"/>
    </row>
    <row r="551" spans="1:2" x14ac:dyDescent="0.2">
      <c r="A551" s="10"/>
      <c r="B551" s="14"/>
    </row>
    <row r="552" spans="1:2" x14ac:dyDescent="0.2">
      <c r="A552" s="10"/>
      <c r="B552" s="14"/>
    </row>
    <row r="553" spans="1:2" x14ac:dyDescent="0.2">
      <c r="A553" s="10"/>
      <c r="B553" s="14"/>
    </row>
    <row r="554" spans="1:2" x14ac:dyDescent="0.2">
      <c r="A554" s="10"/>
      <c r="B554" s="14"/>
    </row>
    <row r="555" spans="1:2" x14ac:dyDescent="0.2">
      <c r="A555" s="10"/>
      <c r="B555" s="14"/>
    </row>
    <row r="556" spans="1:2" x14ac:dyDescent="0.2">
      <c r="A556" s="10"/>
      <c r="B556" s="14"/>
    </row>
    <row r="557" spans="1:2" x14ac:dyDescent="0.2">
      <c r="A557" s="10"/>
      <c r="B557" s="14"/>
    </row>
    <row r="558" spans="1:2" x14ac:dyDescent="0.2">
      <c r="A558" s="10"/>
      <c r="B558" s="14"/>
    </row>
    <row r="559" spans="1:2" x14ac:dyDescent="0.2">
      <c r="A559" s="10"/>
      <c r="B559" s="14"/>
    </row>
    <row r="560" spans="1:2" x14ac:dyDescent="0.2">
      <c r="A560" s="10"/>
      <c r="B560" s="14"/>
    </row>
    <row r="561" spans="1:2" x14ac:dyDescent="0.2">
      <c r="A561" s="10"/>
      <c r="B561" s="14"/>
    </row>
    <row r="562" spans="1:2" x14ac:dyDescent="0.2">
      <c r="A562" s="10"/>
      <c r="B562" s="14"/>
    </row>
    <row r="563" spans="1:2" x14ac:dyDescent="0.2">
      <c r="A563" s="10"/>
      <c r="B563" s="14"/>
    </row>
    <row r="564" spans="1:2" x14ac:dyDescent="0.2">
      <c r="A564" s="10"/>
      <c r="B564" s="14"/>
    </row>
    <row r="565" spans="1:2" x14ac:dyDescent="0.2">
      <c r="A565" s="10"/>
      <c r="B565" s="14"/>
    </row>
    <row r="566" spans="1:2" x14ac:dyDescent="0.2">
      <c r="A566" s="10"/>
      <c r="B566" s="14"/>
    </row>
    <row r="567" spans="1:2" x14ac:dyDescent="0.2">
      <c r="A567" s="10"/>
      <c r="B567" s="14"/>
    </row>
    <row r="568" spans="1:2" x14ac:dyDescent="0.2">
      <c r="A568" s="10"/>
      <c r="B568" s="14"/>
    </row>
    <row r="569" spans="1:2" x14ac:dyDescent="0.2">
      <c r="A569" s="10"/>
      <c r="B569" s="14"/>
    </row>
    <row r="570" spans="1:2" x14ac:dyDescent="0.2">
      <c r="A570" s="10"/>
      <c r="B570" s="14"/>
    </row>
    <row r="571" spans="1:2" x14ac:dyDescent="0.2">
      <c r="A571" s="10"/>
      <c r="B571" s="14"/>
    </row>
    <row r="572" spans="1:2" x14ac:dyDescent="0.2">
      <c r="A572" s="10"/>
      <c r="B572" s="14"/>
    </row>
    <row r="573" spans="1:2" x14ac:dyDescent="0.2">
      <c r="A573" s="10"/>
    </row>
    <row r="574" spans="1:2" x14ac:dyDescent="0.2">
      <c r="A574" s="10"/>
    </row>
    <row r="575" spans="1:2" x14ac:dyDescent="0.2">
      <c r="A575" s="10"/>
    </row>
    <row r="576" spans="1:2" x14ac:dyDescent="0.2">
      <c r="A576" s="10"/>
    </row>
    <row r="577" spans="1:1" x14ac:dyDescent="0.2">
      <c r="A577" s="10"/>
    </row>
    <row r="578" spans="1:1" x14ac:dyDescent="0.2">
      <c r="A578" s="10"/>
    </row>
    <row r="579" spans="1:1" x14ac:dyDescent="0.2">
      <c r="A579" s="10"/>
    </row>
    <row r="580" spans="1:1" x14ac:dyDescent="0.2">
      <c r="A580" s="10"/>
    </row>
  </sheetData>
  <mergeCells count="43">
    <mergeCell ref="Q107:R107"/>
    <mergeCell ref="Q108:R108"/>
    <mergeCell ref="Q109:R109"/>
    <mergeCell ref="M180:N180"/>
    <mergeCell ref="A188:L191"/>
    <mergeCell ref="M176:N176"/>
    <mergeCell ref="M175:N175"/>
    <mergeCell ref="M177:N177"/>
    <mergeCell ref="M178:N178"/>
    <mergeCell ref="M179:N179"/>
    <mergeCell ref="Q110:R110"/>
    <mergeCell ref="P127:Q127"/>
    <mergeCell ref="P122:Q122"/>
    <mergeCell ref="P123:Q123"/>
    <mergeCell ref="P124:Q124"/>
    <mergeCell ref="P125:Q125"/>
    <mergeCell ref="V102:W102"/>
    <mergeCell ref="V103:W103"/>
    <mergeCell ref="V104:W104"/>
    <mergeCell ref="P126:Q126"/>
    <mergeCell ref="Q102:R102"/>
    <mergeCell ref="Q103:R103"/>
    <mergeCell ref="Q104:R104"/>
    <mergeCell ref="Q105:R105"/>
    <mergeCell ref="Q106:R106"/>
    <mergeCell ref="V105:W105"/>
    <mergeCell ref="V106:W106"/>
    <mergeCell ref="V107:W107"/>
    <mergeCell ref="V108:W108"/>
    <mergeCell ref="V109:W109"/>
    <mergeCell ref="V110:W110"/>
    <mergeCell ref="P121:Q121"/>
    <mergeCell ref="P129:Q129"/>
    <mergeCell ref="P128:Q128"/>
    <mergeCell ref="P164:Q164"/>
    <mergeCell ref="P157:Q157"/>
    <mergeCell ref="P158:Q158"/>
    <mergeCell ref="P159:Q159"/>
    <mergeCell ref="P160:Q160"/>
    <mergeCell ref="P161:Q161"/>
    <mergeCell ref="P130:Q130"/>
    <mergeCell ref="P162:Q162"/>
    <mergeCell ref="P163:Q163"/>
  </mergeCells>
  <phoneticPr fontId="0" type="noConversion"/>
  <hyperlinks>
    <hyperlink ref="A2" location="'Bid Log'!A9" display="Council Bids" xr:uid="{DAD1A8F4-6BE3-4959-A34D-EFE491E84213}"/>
    <hyperlink ref="A3" location="'Bid Log'!A110" display="Non-Council Bids" xr:uid="{397F7DAC-E69B-466D-9632-7EA3EFECBF70}"/>
    <hyperlink ref="A4" location="'Bid Log'!A145" display="Requests for Proposals" xr:uid="{DAF80BE5-5C58-4C12-9C79-2036DA357A04}"/>
    <hyperlink ref="A5" location="'Bid Log'!A173" display="Competitive Sealed Proposals" xr:uid="{FD50B1BA-25A7-4FE8-B922-EEB400D7E5E0}"/>
    <hyperlink ref="A6" location="'Bid Log'!A194" display="Request for Qualifications" xr:uid="{5D67CD25-AE82-4781-A66C-7215F112603B}"/>
    <hyperlink ref="A7" location="'Bid Log'!A215" display="Request for Information" xr:uid="{D3CCC234-63BE-4040-A229-46450E70A8AF}"/>
    <hyperlink ref="A167" location="'Bid Log'!A1" display="Return to Top of Document" xr:uid="{0D9D6EEB-8C67-4CD6-B8BF-F2AC0DFBFB19}"/>
    <hyperlink ref="A183" location="'Bid Log'!A1" display="Return to Top of Document" xr:uid="{489832B2-C4D4-427A-B490-923B367B8FFC}"/>
    <hyperlink ref="A149" location="'Bid Log'!A1" display="Return to Top of Document" xr:uid="{8CB9534D-8330-4214-A046-A2F9008D7BA2}"/>
    <hyperlink ref="A133" location="'Bid Log'!A1" display="Return to Top of Document" xr:uid="{6A0CA678-BDB8-4707-AE6F-44708FB17B12}"/>
    <hyperlink ref="A113" location="'Bid Log'!A1" display="Return to Top of Document" xr:uid="{EC30B1E6-D7CA-4F7F-9F27-E56921056B7E}"/>
    <hyperlink ref="A94" location="'Bid Log'!A1" display="Return to Top of Document" xr:uid="{833EB07F-9B70-45C4-9CE6-19AF2839EE72}"/>
    <hyperlink ref="D16" r:id="rId1" xr:uid="{611EA3B9-CE5E-4E6F-BE62-EC46626276EA}"/>
    <hyperlink ref="F16" r:id="rId2" xr:uid="{80B39446-E12D-46CC-A852-3CE429A32C48}"/>
    <hyperlink ref="O17" r:id="rId3" xr:uid="{CA5FC7D1-5E3A-4E1E-8876-84AFB4FF5B2A}"/>
    <hyperlink ref="O18" r:id="rId4" xr:uid="{A6EC0AC8-C692-407E-8D6F-D0952EFE9D1F}"/>
    <hyperlink ref="O19" r:id="rId5" xr:uid="{FF7EEF41-743D-4204-82F8-1F610BC8FE40}"/>
    <hyperlink ref="O20" r:id="rId6" xr:uid="{34F02663-F7E6-474C-B3E3-9A303E04E60F}"/>
    <hyperlink ref="O21" r:id="rId7" xr:uid="{E8E2532D-A7FD-4BC9-813C-4DD2A71C8CD5}"/>
    <hyperlink ref="O22" r:id="rId8" xr:uid="{1659C069-2A23-4538-BC84-018EA24443EB}"/>
    <hyperlink ref="O23" r:id="rId9" xr:uid="{814BE90F-2D4C-42BA-89A1-8E3E95FD05F0}"/>
    <hyperlink ref="F125" r:id="rId10" xr:uid="{6F8A6DFD-EC85-4B99-8837-84FC35F4D1A7}"/>
    <hyperlink ref="G125" r:id="rId11" xr:uid="{BC449668-7654-474D-A456-2E6B11B2BEFA}"/>
    <hyperlink ref="H125" r:id="rId12" xr:uid="{2F14894F-6B16-4A46-87FD-662D9BA7690B}"/>
    <hyperlink ref="L16" r:id="rId13" xr:uid="{EF26C019-4A13-4A5D-BFBE-1DCDA3F6715F}"/>
    <hyperlink ref="O16" r:id="rId14" xr:uid="{F9E55911-0758-4C87-9DE5-741E00D963BB}"/>
    <hyperlink ref="O29" r:id="rId15" xr:uid="{C34CDBD2-A263-4F8D-A001-C69CC9A7E7B5}"/>
    <hyperlink ref="F26" r:id="rId16" xr:uid="{626B5809-F4C8-46B7-BFBD-422536E78428}"/>
    <hyperlink ref="F30" r:id="rId17" xr:uid="{C1B081DC-C279-4295-923B-0C2E16175BA2}"/>
    <hyperlink ref="O25" r:id="rId18" xr:uid="{92DDBA2B-C94A-4846-B7E2-57D4E9FA1999}"/>
    <hyperlink ref="O31" r:id="rId19" xr:uid="{98FF038C-F341-40EF-98E6-25CE2F512A25}"/>
    <hyperlink ref="O32" r:id="rId20" xr:uid="{45ED1FE3-8BC0-434E-BE4B-001C2885FCF3}"/>
    <hyperlink ref="D27" r:id="rId21" xr:uid="{1D10CE10-D646-4FB6-96B7-441CD01A7722}"/>
    <hyperlink ref="F27" r:id="rId22" xr:uid="{1424A5BD-7B57-46A3-B136-BDE3032785AC}"/>
    <hyperlink ref="F39" r:id="rId23" xr:uid="{2372C42D-E993-47A2-AC44-B67CA6072DC4}"/>
    <hyperlink ref="L26" r:id="rId24" xr:uid="{69CE8C4B-C120-4CA4-AC4D-32B5BCFDBC10}"/>
    <hyperlink ref="F106" r:id="rId25" xr:uid="{E3AEE039-8117-4F2F-9C57-4050C85EF9EE}"/>
    <hyperlink ref="H27" r:id="rId26" xr:uid="{5E4D0543-B8D5-4F12-A29A-F4E6B3863C48}"/>
    <hyperlink ref="G27" r:id="rId27" xr:uid="{E96314E8-F1B1-47A7-A552-7F30804C7BBA}"/>
    <hyperlink ref="I27" r:id="rId28" xr:uid="{50BC4A88-D8E4-4DE1-9C1F-1AC347710BE1}"/>
    <hyperlink ref="O26" r:id="rId29" xr:uid="{2ED9CC31-CC7F-474E-B435-7B03E4FDEB4F}"/>
    <hyperlink ref="O33" r:id="rId30" xr:uid="{00E16B1D-C202-451E-B4A1-32C658F124E0}"/>
    <hyperlink ref="O34" r:id="rId31" xr:uid="{6F498E3F-877C-4FF2-B53A-01BB786395C0}"/>
    <hyperlink ref="O35" r:id="rId32" xr:uid="{2F8DE054-7DBC-48B8-BAE8-2D6ED081C0AF}"/>
    <hyperlink ref="O36" r:id="rId33" xr:uid="{3518A19A-27EA-457E-8892-1A2DB5B757C5}"/>
    <hyperlink ref="O37" r:id="rId34" xr:uid="{8531AF19-F805-43B1-8003-35F6F4A877F2}"/>
    <hyperlink ref="O38" r:id="rId35" xr:uid="{71E7C585-F910-4CAD-8861-9F983B545EF7}"/>
    <hyperlink ref="G16" r:id="rId36" xr:uid="{257C6D33-0F3C-4F94-BD92-A27238FFEF02}"/>
    <hyperlink ref="F41" r:id="rId37" xr:uid="{775C0031-4EB7-4D44-9446-1D8ADE4137A0}"/>
    <hyperlink ref="L27" r:id="rId38" xr:uid="{63F51848-5011-46AA-ADE0-5D07DDC2A7AD}"/>
    <hyperlink ref="L39" r:id="rId39" xr:uid="{2F301D52-1BC4-49A7-8E5F-D9D6DCD9F6D7}"/>
    <hyperlink ref="F46" r:id="rId40" xr:uid="{64F4FC5E-148D-41A3-9C41-D4307BD49B72}"/>
    <hyperlink ref="F47" r:id="rId41" xr:uid="{933FAB26-0FD6-4F1D-B75F-BA412E71AE59}"/>
    <hyperlink ref="F107" r:id="rId42" xr:uid="{0EA00182-33FA-4CC6-9DD8-7D880C412C0B}"/>
    <hyperlink ref="D44" r:id="rId43" xr:uid="{8C604EDB-1649-4B89-BA40-4B76F19E0548}"/>
    <hyperlink ref="L41" r:id="rId44" xr:uid="{0A0C6812-FF36-47A6-9263-E4347CDCC8E8}"/>
    <hyperlink ref="O39" r:id="rId45" xr:uid="{26942E18-BBC8-448F-90F2-A29F672B84BE}"/>
    <hyperlink ref="O41" r:id="rId46" xr:uid="{D9B6BAD6-5272-44F8-9CC6-1DD02FC36A2D}"/>
    <hyperlink ref="O42" r:id="rId47" xr:uid="{EE38BDCC-CD48-468C-915F-0DCBD67C7F90}"/>
    <hyperlink ref="O24" r:id="rId48" xr:uid="{4F1C51AA-A648-492E-BE43-FB10CE568913}"/>
    <hyperlink ref="O28" r:id="rId49" xr:uid="{5C6A779D-C7EF-447B-86F8-06E648B7A6D6}"/>
    <hyperlink ref="D45" r:id="rId50" xr:uid="{36FA2BAD-3B06-4585-9038-D2D8466C8E42}"/>
    <hyperlink ref="D48" r:id="rId51" xr:uid="{B598FA7A-506D-4167-85DB-219952CBAA21}"/>
    <hyperlink ref="L106" r:id="rId52" xr:uid="{F439E477-E4C6-4AA8-9DAE-CAD3DC860349}"/>
    <hyperlink ref="F44" r:id="rId53" xr:uid="{1627F7DF-B682-4324-ABF8-67EB2088EDE2}"/>
    <hyperlink ref="F45" r:id="rId54" xr:uid="{D3447F80-F5EC-4516-80D2-DCE54CFF5F83}"/>
    <hyperlink ref="F48" r:id="rId55" xr:uid="{0C164B9D-A923-4C94-A7FF-C576ACC63297}"/>
    <hyperlink ref="D40" r:id="rId56" xr:uid="{0770E368-E3E2-49F1-BB55-BB4998F3A9BC}"/>
    <hyperlink ref="O27" r:id="rId57" xr:uid="{2831F6E4-59D4-47C1-BC9F-B9BBDBEA394E}"/>
    <hyperlink ref="G45" r:id="rId58" xr:uid="{F35FFCEE-9D73-4B0F-AD84-5FC7D1B63B27}"/>
    <hyperlink ref="H45" r:id="rId59" xr:uid="{EA44D85C-D995-4A5A-BDF7-071DF5B5583D}"/>
    <hyperlink ref="G48" r:id="rId60" xr:uid="{421C2292-290E-45EB-BC1C-55E67F3E32AD}"/>
    <hyperlink ref="F40" r:id="rId61" xr:uid="{D330B79E-5506-4C49-A372-ACB61B391364}"/>
    <hyperlink ref="F108" r:id="rId62" xr:uid="{80F63815-9C49-4217-8969-686AB49D0CDB}"/>
    <hyperlink ref="L46" r:id="rId63" xr:uid="{1BA6F79C-024D-4878-8976-2FD0BC86580F}"/>
    <hyperlink ref="G40" r:id="rId64" xr:uid="{F41C20AE-19B5-4DF1-A397-09856A2FBAF5}"/>
    <hyperlink ref="G47" r:id="rId65" xr:uid="{0C6E377B-0955-4E62-9501-040D4E0E4B09}"/>
    <hyperlink ref="H48" r:id="rId66" xr:uid="{430465D2-1FB4-47E0-986D-FC1D7C6BA637}"/>
    <hyperlink ref="L44" r:id="rId67" xr:uid="{BEB974B8-D6D4-46B0-B022-4DC5AF269DD4}"/>
    <hyperlink ref="L45" r:id="rId68" xr:uid="{B9DE24FB-9449-4883-A53E-91070D4B2880}"/>
    <hyperlink ref="O49" r:id="rId69" xr:uid="{D3AF5C18-B047-47C6-8ECC-9E7AEC644BE6}"/>
    <hyperlink ref="O50" r:id="rId70" xr:uid="{77BCECA7-29A6-4DE4-B7EE-436CA876E1E5}"/>
    <hyperlink ref="O51" r:id="rId71" xr:uid="{E131A6EE-002B-47E2-9F80-E33EFEFCB131}"/>
    <hyperlink ref="O52" r:id="rId72" xr:uid="{551FEB88-449D-4083-AB06-6D9C7F4C05FB}"/>
    <hyperlink ref="L40" r:id="rId73" xr:uid="{982584BE-2A49-4C48-B51B-7757A9EDC52C}"/>
    <hyperlink ref="L47" r:id="rId74" xr:uid="{FB4EC4D3-26BE-4911-A27A-E2DD4B5D42C4}"/>
    <hyperlink ref="L48" r:id="rId75" xr:uid="{2D728871-25C6-4DCA-AC10-B684BE4EA6CC}"/>
    <hyperlink ref="L107" r:id="rId76" xr:uid="{6573BB5E-3FA8-4166-B278-56512C750932}"/>
    <hyperlink ref="O46" r:id="rId77" xr:uid="{420AD631-D508-4403-BDF2-283218A4EB37}"/>
    <hyperlink ref="O47" r:id="rId78" xr:uid="{547E3453-737D-4981-A86E-5C1354948DEA}"/>
    <hyperlink ref="O53" r:id="rId79" xr:uid="{A8CBD9F9-90A6-4512-AB1D-77D853885439}"/>
    <hyperlink ref="D43" r:id="rId80" xr:uid="{44E6157E-72EB-4ADE-B5A9-0AA8B908083D}"/>
    <hyperlink ref="O40" r:id="rId81" xr:uid="{60ACF533-0730-4B14-8952-8112860640F5}"/>
    <hyperlink ref="O44" r:id="rId82" xr:uid="{0D50AA31-78D1-48E0-9368-171441B7CFAF}"/>
    <hyperlink ref="O45" r:id="rId83" xr:uid="{16D2C951-FC06-43BC-AD79-08F6BF9BB360}"/>
    <hyperlink ref="O48" r:id="rId84" xr:uid="{6D251676-6556-43FB-8F48-336A50352412}"/>
    <hyperlink ref="O54" r:id="rId85" xr:uid="{4C9476E6-A1FA-440B-A3A4-09CB7107C58B}"/>
    <hyperlink ref="G43" r:id="rId86" xr:uid="{3FC5030B-6F32-4129-87CB-487832C3F77C}"/>
    <hyperlink ref="F43" r:id="rId87" xr:uid="{6DB15A0A-8605-4F32-992D-9813DA5EB150}"/>
    <hyperlink ref="F126" r:id="rId88" xr:uid="{604865C6-DE25-41AC-9DAE-3107BAA96B65}"/>
    <hyperlink ref="F55" r:id="rId89" xr:uid="{8E6A9D23-AE3F-495A-90BE-16BD4C7A7BD5}"/>
    <hyperlink ref="F58" r:id="rId90" xr:uid="{6BD1EFC9-5946-4E34-8CEE-86C2D09F19B1}"/>
    <hyperlink ref="O57" r:id="rId91" xr:uid="{975E194D-8045-4B06-8950-4400E124A7E0}"/>
    <hyperlink ref="L43" r:id="rId92" xr:uid="{97CD963F-55BE-4C10-B7E0-DE97D8F0380B}"/>
    <hyperlink ref="F109" r:id="rId93" xr:uid="{3D11AEA4-8E6D-44DE-B258-7239E86881A7}"/>
    <hyperlink ref="L108" r:id="rId94" xr:uid="{C717D6A6-330F-4E81-86FB-13A5A438700E}"/>
    <hyperlink ref="O60" r:id="rId95" xr:uid="{5C939D51-8623-4AF0-968F-2F0F674C2A1B}"/>
    <hyperlink ref="O59" r:id="rId96" xr:uid="{591D838A-FF82-4E5F-AB59-46A685CAE076}"/>
    <hyperlink ref="F56" r:id="rId97" xr:uid="{A601BC1D-6833-45A3-A4DC-A3366014EA5D}"/>
    <hyperlink ref="D56" r:id="rId98" xr:uid="{FE4E8C9E-0933-4181-89B8-5A05E3FC14F4}"/>
    <hyperlink ref="L55" r:id="rId99" xr:uid="{52AF5F48-2D4D-445D-A54F-65D85F088158}"/>
    <hyperlink ref="F61" r:id="rId100" xr:uid="{A6E7949F-8EF6-4921-AF28-77E434865FB4}"/>
    <hyperlink ref="G109" r:id="rId101" xr:uid="{2BBA5CB7-A209-4F16-8CAA-477F4727C83B}"/>
    <hyperlink ref="G61" r:id="rId102" xr:uid="{75FBE66A-70E3-462A-8012-14A8792011AB}"/>
    <hyperlink ref="G127" r:id="rId103" xr:uid="{FE65CBA4-BC6D-4D2F-8216-1FE6367DE3F0}"/>
    <hyperlink ref="F62" r:id="rId104" xr:uid="{8AAA9223-F508-472B-BC00-F1DED6F3634C}"/>
    <hyperlink ref="L56" r:id="rId105" xr:uid="{36A8BD57-53B4-4A1E-93D9-061884376702}"/>
    <hyperlink ref="L58" r:id="rId106" xr:uid="{63B31A30-9C7F-45F1-8B81-4A1AC59D699B}"/>
    <hyperlink ref="F127" r:id="rId107" xr:uid="{61EED657-E0DD-425D-94DC-07A76E91A93C}"/>
    <hyperlink ref="G62" r:id="rId108" xr:uid="{9B1D0F09-0816-4247-8733-19E5FA178505}"/>
    <hyperlink ref="H61" r:id="rId109" xr:uid="{FDAAAF20-A7D2-4AC9-A986-4F3B2C24251C}"/>
    <hyperlink ref="I61" r:id="rId110" xr:uid="{B669FCEC-FEC6-4590-9E5A-C3D23C52F577}"/>
    <hyperlink ref="F145" r:id="rId111" xr:uid="{4E6DE769-7AE7-42D8-B22A-4B65A707F88E}"/>
    <hyperlink ref="O55" r:id="rId112" xr:uid="{372C75EA-C908-4B82-9A2D-064D2660E0F1}"/>
    <hyperlink ref="F128" r:id="rId113" xr:uid="{128F3876-424B-41FB-AE9B-49AC950D82EB}"/>
    <hyperlink ref="O43" r:id="rId114" xr:uid="{C0E42BF8-237E-40BB-83BA-8B8934EB97AC}"/>
    <hyperlink ref="O58" r:id="rId115" xr:uid="{EDCB54B0-2BD8-4A2B-A1EB-61A36F6E8855}"/>
    <hyperlink ref="O63" r:id="rId116" xr:uid="{48E35422-FC2A-492C-B485-DC0C39A31FE6}"/>
    <hyperlink ref="M126" r:id="rId117" xr:uid="{6F0E0068-AC73-4326-941B-131DC9F60933}"/>
    <hyperlink ref="L109" r:id="rId118" xr:uid="{1C67A0ED-9690-41E0-BDC1-19FB0A68DD2A}"/>
    <hyperlink ref="G128" r:id="rId119" xr:uid="{8CB83FEF-7C8A-42E5-B493-1C98F86BDA37}"/>
    <hyperlink ref="G145" r:id="rId120" xr:uid="{C721317C-CDB6-4A3A-BDCF-609ABB8E5978}"/>
    <hyperlink ref="H145" r:id="rId121" xr:uid="{DF8ABE09-B402-485E-8BB6-CCF3B1220970}"/>
    <hyperlink ref="I145" r:id="rId122" xr:uid="{1A759931-0C99-47C3-8EE8-349659531205}"/>
    <hyperlink ref="L61" r:id="rId123" xr:uid="{4B577DE2-E4C7-42E0-8983-597A0DA92693}"/>
    <hyperlink ref="H128" r:id="rId124" xr:uid="{BA1BD2DA-A45A-4BEB-97E9-AE4E307C8F1E}"/>
    <hyperlink ref="D66" r:id="rId125" xr:uid="{816D0CC8-4886-4599-805C-FF27FE88D65F}"/>
    <hyperlink ref="D67" r:id="rId126" xr:uid="{FCCFDEAB-0EEC-4D9B-9947-E92E07D8F067}"/>
    <hyperlink ref="D145" r:id="rId127" xr:uid="{D5A1F87C-0151-40B8-BE3E-67D780BDE925}"/>
    <hyperlink ref="L145" r:id="rId128" xr:uid="{78AF937F-5041-448F-B357-60928D17F369}"/>
    <hyperlink ref="L62" r:id="rId129" xr:uid="{4BCEE02B-C431-4C20-A778-B48B3A8D73CC}"/>
    <hyperlink ref="F67" r:id="rId130" xr:uid="{1A297ADF-E92C-4165-808A-C006FF90717A}"/>
    <hyperlink ref="O56" r:id="rId131" xr:uid="{E891E2A3-1C96-40AF-B227-540446C11EA1}"/>
    <hyperlink ref="O62" r:id="rId132" xr:uid="{5967DDDF-7EED-4FEF-ABB7-D2D936DBA9BC}"/>
    <hyperlink ref="O64" r:id="rId133" xr:uid="{8E473D7B-C988-43C5-801B-7A42A5C1E26B}"/>
    <hyperlink ref="O65" r:id="rId134" xr:uid="{3B59E710-83D7-4A71-A916-1C77265D7716}"/>
    <hyperlink ref="O68" r:id="rId135" xr:uid="{1BC146F3-545D-4120-BC4A-97862C444008}"/>
    <hyperlink ref="O69" r:id="rId136" xr:uid="{BF36A4EB-3967-4306-91A3-F1226DF797E7}"/>
    <hyperlink ref="O70" r:id="rId137" xr:uid="{FDE0CA8A-055B-4788-A3EF-130810E63C58}"/>
    <hyperlink ref="F66" r:id="rId138" xr:uid="{C2382E99-936D-4A86-822C-11643A12951D}"/>
    <hyperlink ref="F71" r:id="rId139" xr:uid="{60B3D061-6D79-494F-A2D6-9E153220E99B}"/>
    <hyperlink ref="F73" r:id="rId140" xr:uid="{E581525E-32FE-4868-B7B7-57369365B91C}"/>
    <hyperlink ref="F74" r:id="rId141" xr:uid="{A27D4275-96D0-45A6-8FD8-A1DF12460DEC}"/>
    <hyperlink ref="F75" r:id="rId142" xr:uid="{67CFBACD-491A-4DFE-9232-8ADD5EB231C6}"/>
    <hyperlink ref="F161" r:id="rId143" xr:uid="{91C58318-71E9-49B6-BAAB-6FDC24CEB8AF}"/>
    <hyperlink ref="D72" r:id="rId144" xr:uid="{97A9F693-8D72-4990-8D80-6F2A71B7AEB9}"/>
    <hyperlink ref="D161" r:id="rId145" xr:uid="{260BF7F8-867E-47C4-B402-0AD211BA859F}"/>
    <hyperlink ref="G161" r:id="rId146" xr:uid="{ABE2342F-6DDF-47AD-8B4D-729965ADA75D}"/>
    <hyperlink ref="F72" r:id="rId147" xr:uid="{A3F0CBAA-4149-4836-80E3-7E4A8151ADFB}"/>
    <hyperlink ref="F78" r:id="rId148" xr:uid="{F307A409-F70F-47C0-B910-14772AA76EBD}"/>
    <hyperlink ref="F80" r:id="rId149" xr:uid="{A546F8DA-FEF4-468C-BA23-68AAFEE5E603}"/>
    <hyperlink ref="L67" r:id="rId150" xr:uid="{0238BB39-D376-4A59-8488-3B517CFE6177}"/>
    <hyperlink ref="G74" r:id="rId151" xr:uid="{91A37FA2-6B70-4A2A-AC10-1E19B143B9F5}"/>
    <hyperlink ref="H161" r:id="rId152" xr:uid="{DA96100F-911E-470B-81C5-05470EDE8959}"/>
    <hyperlink ref="L71" r:id="rId153" xr:uid="{ACF424FB-4020-417B-AC3F-B799452B63FA}"/>
    <hyperlink ref="O77" r:id="rId154" xr:uid="{FC870488-BF75-48BE-8BC4-B9AC9A0BBAF0}"/>
    <hyperlink ref="O82" r:id="rId155" xr:uid="{0FE10B7C-4071-415A-A0F4-68A1ED2A9DCE}"/>
    <hyperlink ref="O83" r:id="rId156" xr:uid="{7DEA9F2E-4879-4E37-B9DB-D9C950CF68B3}"/>
    <hyperlink ref="O145" r:id="rId157" xr:uid="{2BA331AE-25BB-4C97-9804-199595EF4438}"/>
    <hyperlink ref="L66" r:id="rId158" xr:uid="{6B646C37-8293-4F81-89BA-7C6DF244FB5B}"/>
    <hyperlink ref="L73" r:id="rId159" xr:uid="{FE8857C7-EFE1-40CD-B12E-90CD5A154B5C}"/>
    <hyperlink ref="G72" r:id="rId160" xr:uid="{15D6F913-2529-448A-B8E8-4AE94D53B1FE}"/>
    <hyperlink ref="G79" r:id="rId161" xr:uid="{F808488B-A27D-438F-90D0-F6EB611B3CE7}"/>
    <hyperlink ref="F79" r:id="rId162" xr:uid="{1962A9D5-DADE-407C-8EC6-8808978CFED2}"/>
    <hyperlink ref="F81" r:id="rId163" xr:uid="{6F9DAAB4-07CA-48B2-A9E2-40DE83D70DF4}"/>
    <hyperlink ref="F129" r:id="rId164" xr:uid="{FAC78857-5643-4763-8274-46ECE733A1BD}"/>
    <hyperlink ref="G129" r:id="rId165" xr:uid="{FE4743F6-928A-419A-898F-84BFFB325E97}"/>
    <hyperlink ref="O67" r:id="rId166" xr:uid="{A453C510-FFE9-4125-924C-96DFCBDB99FA}"/>
    <hyperlink ref="O73" r:id="rId167" xr:uid="{1B5CD3B5-6F5B-42E5-80F8-E804553B8163}"/>
    <hyperlink ref="O84" r:id="rId168" xr:uid="{B2082F58-77F6-473E-966A-60955ADA37A8}"/>
    <hyperlink ref="H129" r:id="rId169" xr:uid="{82DDEFBC-251C-4930-A6DE-0EDF39094466}"/>
    <hyperlink ref="F85" r:id="rId170" xr:uid="{A414B9B2-1232-45BA-98D7-213D65ADFEA8}"/>
    <hyperlink ref="D85" r:id="rId171" xr:uid="{A9CE8E9E-8AE3-47D7-99A8-2E0141061F23}"/>
    <hyperlink ref="D162" r:id="rId172" xr:uid="{6A26B239-9261-420B-8232-66EA5112CE4E}"/>
    <hyperlink ref="D163" r:id="rId173" xr:uid="{347E912F-6FEB-478A-A9AE-64F3F54A850A}"/>
    <hyperlink ref="L72" r:id="rId174" xr:uid="{A60D56E2-A950-4164-9539-5E64DA769569}"/>
    <hyperlink ref="L78" r:id="rId175" xr:uid="{2C3EC52B-7E8B-40CE-BABF-2D963C56EE36}"/>
    <hyperlink ref="F162" r:id="rId176" xr:uid="{942159FF-F8C0-4DD7-9135-09DC73491767}"/>
    <hyperlink ref="F163" r:id="rId177" xr:uid="{69281CA8-2319-4F67-BD16-1988720FDC32}"/>
    <hyperlink ref="O71" r:id="rId178" xr:uid="{9F47D7AD-C1DA-48C8-9DBB-A299B6F92236}"/>
    <hyperlink ref="O76" r:id="rId179" xr:uid="{043B1E9B-FAF9-4257-A5AC-FEBF9A8D7EEA}"/>
    <hyperlink ref="O78" r:id="rId180" xr:uid="{0CABE416-08AA-4047-8D8A-ED72F6C49F0F}"/>
    <hyperlink ref="O86" r:id="rId181" xr:uid="{2A448909-5563-43B0-A15F-6BB74645E624}"/>
    <hyperlink ref="O87" r:id="rId182" xr:uid="{E5B89B1C-5EE4-4C73-9C54-72C9DE31235C}"/>
    <hyperlink ref="O88" r:id="rId183" xr:uid="{E41ADB6D-7790-4BB5-A0D3-BF5CA5FDA70C}"/>
    <hyperlink ref="G162" r:id="rId184" xr:uid="{B3E11A01-599A-462B-A10A-58C54E97A9BA}"/>
    <hyperlink ref="G163" r:id="rId185" xr:uid="{07AD357B-3CC5-4112-A3FC-9BF892E1B619}"/>
    <hyperlink ref="L74" r:id="rId186" xr:uid="{9801B28B-3EBC-4912-9775-04613B965D64}"/>
    <hyperlink ref="L75" r:id="rId187" xr:uid="{572C5676-C69C-4A6A-9475-7AB422902E6F}"/>
    <hyperlink ref="L79" r:id="rId188" xr:uid="{32397683-7BF7-497C-B488-615A2F4145E4}"/>
    <hyperlink ref="L80" r:id="rId189" xr:uid="{BEAD63CE-D0E2-4A98-B991-EEF94071FE16}"/>
    <hyperlink ref="O66" r:id="rId190" xr:uid="{1076BB38-8470-45F5-A67D-55F4A766C775}"/>
    <hyperlink ref="O72" r:id="rId191" xr:uid="{B56AA794-AFBB-4A86-AACA-203629A2A7D5}"/>
    <hyperlink ref="O74" r:id="rId192" xr:uid="{6BC63C67-45DA-4B03-9840-5E69CBEE51F9}"/>
    <hyperlink ref="O75" r:id="rId193" xr:uid="{CA750687-3D92-4492-9EAA-79364E2DC91A}"/>
    <hyperlink ref="O79" r:id="rId194" xr:uid="{2748438D-C4BF-467B-84CA-68AA5979A802}"/>
    <hyperlink ref="O89" r:id="rId195" xr:uid="{35D229D9-7409-4E0F-9AAF-C510789DAD32}"/>
    <hyperlink ref="O90" r:id="rId196" xr:uid="{A9510916-94A6-4857-9F02-758BEB01DD91}"/>
    <hyperlink ref="O61" r:id="rId197" xr:uid="{5759D2D2-ACA3-42ED-8E35-9951224D95F3}"/>
    <hyperlink ref="O85" r:id="rId198" xr:uid="{06FE7FBA-B918-46E3-B448-3C532852A44D}"/>
    <hyperlink ref="L85" r:id="rId199" xr:uid="{1B5B750C-EDF2-4CB9-995F-A4D6AF08E556}"/>
  </hyperlinks>
  <pageMargins left="0.2" right="0" top="0.5" bottom="0.5" header="0.5" footer="0.5"/>
  <pageSetup scale="39" fitToHeight="3" orientation="landscape" r:id="rId200"/>
  <headerFooter alignWithMargins="0"/>
  <rowBreaks count="1" manualBreakCount="1">
    <brk id="98"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0FDDC-1A70-4877-9727-F2D9826287F5}">
  <dimension ref="A1:AH602"/>
  <sheetViews>
    <sheetView topLeftCell="A175" zoomScale="130" zoomScaleNormal="130" workbookViewId="0">
      <selection activeCell="A73" sqref="A73"/>
    </sheetView>
  </sheetViews>
  <sheetFormatPr defaultColWidth="9.42578125" defaultRowHeight="11.25" x14ac:dyDescent="0.2"/>
  <cols>
    <col min="1" max="1" width="6.5703125" style="1" customWidth="1"/>
    <col min="2" max="2" width="47.42578125" style="1" customWidth="1"/>
    <col min="3" max="3" width="8.5703125" style="1" customWidth="1"/>
    <col min="4" max="4" width="9" style="10" bestFit="1" customWidth="1"/>
    <col min="5" max="5" width="17.5703125" style="1" bestFit="1" customWidth="1"/>
    <col min="6" max="9" width="9.42578125" style="1" customWidth="1"/>
    <col min="10" max="11" width="9.5703125" style="1" customWidth="1"/>
    <col min="12" max="12" width="10.5703125" style="14" customWidth="1"/>
    <col min="13" max="13" width="11.42578125" style="14" bestFit="1" customWidth="1"/>
    <col min="14" max="14" width="9.5703125" style="14" bestFit="1" customWidth="1"/>
    <col min="15" max="15" width="9.5703125" style="1" customWidth="1"/>
    <col min="16" max="16" width="11.42578125" style="1" bestFit="1" customWidth="1"/>
    <col min="17" max="17" width="7.42578125" style="1" bestFit="1" customWidth="1"/>
    <col min="18" max="18" width="24.5703125" style="1" bestFit="1" customWidth="1"/>
    <col min="19" max="20" width="16.42578125" style="1" bestFit="1" customWidth="1"/>
    <col min="21" max="21" width="16.42578125" style="1" customWidth="1"/>
    <col min="22" max="22" width="9.42578125" style="14" bestFit="1"/>
    <col min="23" max="23" width="10.42578125" style="14" bestFit="1" customWidth="1"/>
    <col min="24" max="24" width="28.5703125" style="14" bestFit="1" customWidth="1"/>
    <col min="25" max="16384" width="9.42578125" style="1"/>
  </cols>
  <sheetData>
    <row r="1" spans="1:24" x14ac:dyDescent="0.2">
      <c r="A1" s="1" t="s">
        <v>63</v>
      </c>
      <c r="B1" s="82"/>
      <c r="C1" s="84" t="s">
        <v>2182</v>
      </c>
      <c r="D1" s="47"/>
      <c r="E1" s="82"/>
    </row>
    <row r="2" spans="1:24" ht="15" customHeight="1" x14ac:dyDescent="0.2">
      <c r="A2" s="37" t="s">
        <v>56</v>
      </c>
    </row>
    <row r="3" spans="1:24" ht="15" customHeight="1" x14ac:dyDescent="0.2">
      <c r="A3" s="37" t="s">
        <v>55</v>
      </c>
    </row>
    <row r="4" spans="1:24" ht="15" customHeight="1" x14ac:dyDescent="0.2">
      <c r="A4" s="37" t="s">
        <v>57</v>
      </c>
    </row>
    <row r="5" spans="1:24" ht="15" customHeight="1" x14ac:dyDescent="0.2">
      <c r="A5" s="37" t="s">
        <v>58</v>
      </c>
      <c r="H5" s="82"/>
    </row>
    <row r="6" spans="1:24" ht="15" customHeight="1" x14ac:dyDescent="0.2">
      <c r="A6" s="37" t="s">
        <v>60</v>
      </c>
    </row>
    <row r="7" spans="1:24" ht="15" customHeight="1" x14ac:dyDescent="0.2">
      <c r="A7" s="37" t="s">
        <v>61</v>
      </c>
    </row>
    <row r="8" spans="1:24" ht="15" customHeight="1" x14ac:dyDescent="0.2"/>
    <row r="9" spans="1:24" ht="15.75" x14ac:dyDescent="0.25">
      <c r="A9" s="88" t="s">
        <v>33</v>
      </c>
      <c r="B9" s="88"/>
      <c r="R9" s="6"/>
      <c r="S9" s="6"/>
      <c r="T9" s="6"/>
      <c r="U9" s="6"/>
    </row>
    <row r="10" spans="1:24" ht="15.75" x14ac:dyDescent="0.25">
      <c r="A10" s="88" t="s">
        <v>242</v>
      </c>
      <c r="B10" s="88"/>
      <c r="R10" s="6"/>
      <c r="S10" s="6"/>
      <c r="T10" s="6"/>
      <c r="U10" s="6"/>
      <c r="X10" s="23"/>
    </row>
    <row r="11" spans="1:24" ht="12" thickBot="1" x14ac:dyDescent="0.25">
      <c r="X11" s="23"/>
    </row>
    <row r="12" spans="1:24" ht="11.85" customHeight="1" x14ac:dyDescent="0.2">
      <c r="A12" s="17"/>
      <c r="B12" s="17"/>
      <c r="C12" s="17"/>
      <c r="D12" s="41"/>
      <c r="E12" s="17"/>
      <c r="F12" s="17"/>
      <c r="G12" s="17"/>
      <c r="H12" s="17"/>
      <c r="I12" s="17"/>
      <c r="J12" s="17"/>
      <c r="K12" s="18" t="s">
        <v>10</v>
      </c>
      <c r="L12" s="18"/>
      <c r="M12" s="18" t="s">
        <v>53</v>
      </c>
      <c r="N12" s="18" t="s">
        <v>47</v>
      </c>
      <c r="O12" s="18" t="s">
        <v>37</v>
      </c>
      <c r="P12" s="17"/>
      <c r="Q12" s="17"/>
      <c r="R12" s="18"/>
      <c r="S12" s="18"/>
      <c r="T12" s="18"/>
      <c r="U12" s="18"/>
      <c r="V12" s="18" t="s">
        <v>19</v>
      </c>
      <c r="W12" s="18"/>
      <c r="X12" s="18"/>
    </row>
    <row r="13" spans="1:24" ht="11.85" customHeight="1" x14ac:dyDescent="0.2">
      <c r="A13" s="19" t="s">
        <v>0</v>
      </c>
      <c r="B13" s="19" t="s">
        <v>1</v>
      </c>
      <c r="C13" s="19" t="s">
        <v>0</v>
      </c>
      <c r="D13" s="42" t="s">
        <v>39</v>
      </c>
      <c r="E13" s="19" t="s">
        <v>2</v>
      </c>
      <c r="F13" s="19" t="s">
        <v>0</v>
      </c>
      <c r="G13" s="19" t="s">
        <v>41</v>
      </c>
      <c r="H13" s="19" t="s">
        <v>41</v>
      </c>
      <c r="I13" s="19" t="s">
        <v>41</v>
      </c>
      <c r="J13" s="19" t="s">
        <v>41</v>
      </c>
      <c r="K13" s="19" t="s">
        <v>3</v>
      </c>
      <c r="L13" s="19" t="s">
        <v>51</v>
      </c>
      <c r="M13" s="19" t="s">
        <v>54</v>
      </c>
      <c r="N13" s="19" t="s">
        <v>50</v>
      </c>
      <c r="O13" s="19" t="s">
        <v>38</v>
      </c>
      <c r="P13" s="19" t="s">
        <v>4</v>
      </c>
      <c r="Q13" s="19" t="s">
        <v>4</v>
      </c>
      <c r="R13" s="19" t="s">
        <v>14</v>
      </c>
      <c r="S13" s="19" t="s">
        <v>15</v>
      </c>
      <c r="T13" s="19" t="s">
        <v>16</v>
      </c>
      <c r="U13" s="19" t="s">
        <v>70</v>
      </c>
      <c r="V13" s="19" t="s">
        <v>20</v>
      </c>
      <c r="W13" s="19" t="s">
        <v>26</v>
      </c>
      <c r="X13" s="19" t="s">
        <v>65</v>
      </c>
    </row>
    <row r="14" spans="1:24" ht="11.85" customHeight="1" x14ac:dyDescent="0.2">
      <c r="A14" s="19" t="s">
        <v>5</v>
      </c>
      <c r="B14" s="19"/>
      <c r="C14" s="19" t="s">
        <v>39</v>
      </c>
      <c r="D14" s="42" t="s">
        <v>40</v>
      </c>
      <c r="E14" s="19" t="s">
        <v>7</v>
      </c>
      <c r="F14" s="19" t="s">
        <v>64</v>
      </c>
      <c r="G14" s="19" t="s">
        <v>42</v>
      </c>
      <c r="H14" s="19" t="s">
        <v>43</v>
      </c>
      <c r="I14" s="19" t="s">
        <v>44</v>
      </c>
      <c r="J14" s="19" t="s">
        <v>45</v>
      </c>
      <c r="K14" s="19" t="s">
        <v>6</v>
      </c>
      <c r="L14" s="19" t="s">
        <v>36</v>
      </c>
      <c r="M14" s="19" t="s">
        <v>13</v>
      </c>
      <c r="N14" s="19" t="s">
        <v>13</v>
      </c>
      <c r="O14" s="19" t="s">
        <v>4</v>
      </c>
      <c r="P14" s="19" t="s">
        <v>9</v>
      </c>
      <c r="Q14" s="19" t="s">
        <v>6</v>
      </c>
      <c r="R14" s="19"/>
      <c r="S14" s="19"/>
      <c r="T14" s="19"/>
      <c r="U14" s="19"/>
      <c r="V14" s="19" t="s">
        <v>28</v>
      </c>
      <c r="W14" s="19" t="s">
        <v>27</v>
      </c>
      <c r="X14" s="19"/>
    </row>
    <row r="15" spans="1:24" ht="2.25" customHeight="1" thickBot="1" x14ac:dyDescent="0.25">
      <c r="A15" s="21"/>
      <c r="B15" s="20"/>
      <c r="C15" s="22"/>
      <c r="D15" s="43"/>
      <c r="E15" s="20"/>
      <c r="F15" s="22"/>
      <c r="G15" s="22"/>
      <c r="H15" s="22"/>
      <c r="I15" s="22"/>
      <c r="J15" s="22"/>
      <c r="K15" s="20"/>
      <c r="L15" s="20"/>
      <c r="M15" s="20"/>
      <c r="N15" s="20"/>
      <c r="O15" s="20"/>
      <c r="P15" s="20"/>
      <c r="Q15" s="20"/>
      <c r="R15" s="20"/>
      <c r="S15" s="20"/>
      <c r="T15" s="20"/>
      <c r="U15" s="20"/>
      <c r="V15" s="20"/>
      <c r="W15" s="20"/>
      <c r="X15" s="20"/>
    </row>
    <row r="16" spans="1:24" x14ac:dyDescent="0.2">
      <c r="A16" s="2" t="s">
        <v>243</v>
      </c>
      <c r="B16" s="81" t="s">
        <v>244</v>
      </c>
      <c r="C16" s="4">
        <v>43754</v>
      </c>
      <c r="D16" s="49" t="s">
        <v>245</v>
      </c>
      <c r="E16" s="3" t="s">
        <v>246</v>
      </c>
      <c r="F16" s="49" t="s">
        <v>247</v>
      </c>
      <c r="G16" s="49" t="s">
        <v>248</v>
      </c>
      <c r="H16" s="49" t="s">
        <v>249</v>
      </c>
      <c r="I16" s="4"/>
      <c r="J16" s="4"/>
      <c r="K16" s="4">
        <v>43783</v>
      </c>
      <c r="L16" s="49" t="s">
        <v>250</v>
      </c>
      <c r="M16" s="80">
        <f>6030359+5885000</f>
        <v>11915359</v>
      </c>
      <c r="N16" s="32">
        <v>2</v>
      </c>
      <c r="O16" s="49" t="s">
        <v>251</v>
      </c>
      <c r="P16" s="89">
        <v>5885000</v>
      </c>
      <c r="Q16" s="4">
        <v>43815</v>
      </c>
      <c r="R16" s="90" t="s">
        <v>252</v>
      </c>
      <c r="S16" s="90"/>
      <c r="T16" s="90"/>
      <c r="U16" s="90"/>
      <c r="V16" s="33" t="s">
        <v>72</v>
      </c>
      <c r="W16" s="33" t="s">
        <v>24</v>
      </c>
      <c r="X16" s="53"/>
    </row>
    <row r="17" spans="1:24" x14ac:dyDescent="0.2">
      <c r="A17" s="2" t="s">
        <v>253</v>
      </c>
      <c r="B17" s="138" t="s">
        <v>254</v>
      </c>
      <c r="C17" s="4" t="s">
        <v>73</v>
      </c>
      <c r="D17" s="44" t="s">
        <v>73</v>
      </c>
      <c r="E17" s="3" t="s">
        <v>255</v>
      </c>
      <c r="F17" s="49" t="s">
        <v>256</v>
      </c>
      <c r="G17" s="47"/>
      <c r="H17" s="47"/>
      <c r="I17" s="4"/>
      <c r="J17" s="4"/>
      <c r="K17" s="4">
        <v>43748</v>
      </c>
      <c r="L17" s="49" t="s">
        <v>257</v>
      </c>
      <c r="M17" s="31">
        <f>50000*N17</f>
        <v>250000</v>
      </c>
      <c r="N17" s="32">
        <v>5</v>
      </c>
      <c r="O17" s="49" t="s">
        <v>258</v>
      </c>
      <c r="P17" s="95">
        <v>96000</v>
      </c>
      <c r="Q17" s="5">
        <v>43808</v>
      </c>
      <c r="R17" s="90" t="s">
        <v>259</v>
      </c>
      <c r="S17" s="91"/>
      <c r="T17" s="91"/>
      <c r="U17" s="91"/>
      <c r="V17" s="33" t="s">
        <v>72</v>
      </c>
      <c r="W17" s="33" t="s">
        <v>22</v>
      </c>
      <c r="X17" s="53"/>
    </row>
    <row r="18" spans="1:24" x14ac:dyDescent="0.2">
      <c r="A18" s="2" t="s">
        <v>260</v>
      </c>
      <c r="B18" s="138" t="s">
        <v>261</v>
      </c>
      <c r="C18" s="5" t="s">
        <v>73</v>
      </c>
      <c r="D18" s="44" t="s">
        <v>73</v>
      </c>
      <c r="E18" s="3" t="s">
        <v>262</v>
      </c>
      <c r="F18" s="49" t="s">
        <v>263</v>
      </c>
      <c r="G18" s="5"/>
      <c r="H18" s="5"/>
      <c r="I18" s="5"/>
      <c r="J18" s="5"/>
      <c r="K18" s="4">
        <v>43748</v>
      </c>
      <c r="L18" s="49" t="s">
        <v>264</v>
      </c>
      <c r="M18" s="31">
        <f>150000*N18</f>
        <v>150000</v>
      </c>
      <c r="N18" s="32">
        <v>1</v>
      </c>
      <c r="O18" s="47"/>
      <c r="P18" s="89"/>
      <c r="Q18" s="4"/>
      <c r="R18" s="90"/>
      <c r="S18" s="90"/>
      <c r="T18" s="90"/>
      <c r="U18" s="90"/>
      <c r="V18" s="33" t="s">
        <v>72</v>
      </c>
      <c r="W18" s="33" t="s">
        <v>23</v>
      </c>
      <c r="X18" s="53"/>
    </row>
    <row r="19" spans="1:24" x14ac:dyDescent="0.2">
      <c r="A19" s="2" t="s">
        <v>265</v>
      </c>
      <c r="B19" s="138" t="s">
        <v>266</v>
      </c>
      <c r="C19" s="5">
        <v>43839</v>
      </c>
      <c r="D19" s="49" t="s">
        <v>267</v>
      </c>
      <c r="E19" s="3" t="s">
        <v>268</v>
      </c>
      <c r="F19" s="49" t="s">
        <v>269</v>
      </c>
      <c r="G19" s="49" t="s">
        <v>270</v>
      </c>
      <c r="H19" s="5"/>
      <c r="I19" s="5"/>
      <c r="J19" s="5"/>
      <c r="K19" s="4">
        <v>43865</v>
      </c>
      <c r="L19" s="49" t="s">
        <v>271</v>
      </c>
      <c r="M19" s="31">
        <f>844316+711702+879311+831936+964488.8+798996.45+879453+849768.6+847779.09</f>
        <v>7607750.9399999995</v>
      </c>
      <c r="N19" s="32">
        <v>9</v>
      </c>
      <c r="O19" s="49" t="s">
        <v>272</v>
      </c>
      <c r="P19" s="89">
        <v>873921</v>
      </c>
      <c r="Q19" s="4">
        <v>43885</v>
      </c>
      <c r="R19" s="90" t="s">
        <v>273</v>
      </c>
      <c r="S19" s="90"/>
      <c r="T19" s="90"/>
      <c r="U19" s="90"/>
      <c r="V19" s="33" t="s">
        <v>72</v>
      </c>
      <c r="W19" s="33" t="s">
        <v>24</v>
      </c>
      <c r="X19" s="53"/>
    </row>
    <row r="20" spans="1:24" x14ac:dyDescent="0.2">
      <c r="A20" s="2" t="s">
        <v>274</v>
      </c>
      <c r="B20" s="138" t="s">
        <v>275</v>
      </c>
      <c r="C20" s="5" t="s">
        <v>73</v>
      </c>
      <c r="D20" s="44" t="s">
        <v>73</v>
      </c>
      <c r="E20" s="3" t="s">
        <v>276</v>
      </c>
      <c r="F20" s="49" t="s">
        <v>277</v>
      </c>
      <c r="G20" s="49" t="s">
        <v>278</v>
      </c>
      <c r="H20" s="5"/>
      <c r="I20" s="5"/>
      <c r="J20" s="5"/>
      <c r="K20" s="4">
        <v>43761</v>
      </c>
      <c r="L20" s="49" t="s">
        <v>279</v>
      </c>
      <c r="M20" s="31">
        <f>150000*N20</f>
        <v>300000</v>
      </c>
      <c r="N20" s="32">
        <v>2</v>
      </c>
      <c r="O20" s="49" t="s">
        <v>280</v>
      </c>
      <c r="P20" s="89">
        <v>175000</v>
      </c>
      <c r="Q20" s="4">
        <v>43808</v>
      </c>
      <c r="R20" s="90" t="s">
        <v>281</v>
      </c>
      <c r="S20" s="90"/>
      <c r="T20" s="90"/>
      <c r="U20" s="90"/>
      <c r="V20" s="33" t="s">
        <v>72</v>
      </c>
      <c r="W20" s="33" t="s">
        <v>23</v>
      </c>
      <c r="X20" s="53"/>
    </row>
    <row r="21" spans="1:24" x14ac:dyDescent="0.2">
      <c r="A21" s="2" t="s">
        <v>282</v>
      </c>
      <c r="B21" s="138" t="s">
        <v>283</v>
      </c>
      <c r="C21" s="5" t="s">
        <v>73</v>
      </c>
      <c r="D21" s="44" t="s">
        <v>73</v>
      </c>
      <c r="E21" s="3" t="s">
        <v>86</v>
      </c>
      <c r="F21" s="5" t="s">
        <v>86</v>
      </c>
      <c r="G21" s="5"/>
      <c r="H21" s="5"/>
      <c r="I21" s="5"/>
      <c r="J21" s="5"/>
      <c r="K21" s="4" t="s">
        <v>86</v>
      </c>
      <c r="L21" s="5" t="s">
        <v>86</v>
      </c>
      <c r="M21" s="31">
        <v>160350</v>
      </c>
      <c r="N21" s="32">
        <v>1</v>
      </c>
      <c r="O21" s="49" t="s">
        <v>284</v>
      </c>
      <c r="P21" s="89">
        <v>160350</v>
      </c>
      <c r="Q21" s="4">
        <v>43752</v>
      </c>
      <c r="R21" s="90" t="s">
        <v>285</v>
      </c>
      <c r="S21" s="90"/>
      <c r="T21" s="90"/>
      <c r="U21" s="90"/>
      <c r="V21" s="33" t="s">
        <v>87</v>
      </c>
      <c r="W21" s="33" t="s">
        <v>23</v>
      </c>
      <c r="X21" s="53" t="s">
        <v>286</v>
      </c>
    </row>
    <row r="22" spans="1:24" x14ac:dyDescent="0.2">
      <c r="A22" s="2" t="s">
        <v>287</v>
      </c>
      <c r="B22" s="138" t="s">
        <v>288</v>
      </c>
      <c r="C22" s="5">
        <v>43741</v>
      </c>
      <c r="D22" s="49" t="s">
        <v>289</v>
      </c>
      <c r="E22" s="3" t="s">
        <v>290</v>
      </c>
      <c r="F22" s="49" t="s">
        <v>291</v>
      </c>
      <c r="G22" s="49" t="s">
        <v>292</v>
      </c>
      <c r="H22" s="49" t="s">
        <v>293</v>
      </c>
      <c r="I22" s="5"/>
      <c r="J22" s="5"/>
      <c r="K22" s="4">
        <v>43770</v>
      </c>
      <c r="L22" s="49" t="s">
        <v>294</v>
      </c>
      <c r="M22" s="31">
        <f>2396872.23+2131562.1</f>
        <v>4528434.33</v>
      </c>
      <c r="N22" s="32">
        <v>2</v>
      </c>
      <c r="O22" s="49"/>
      <c r="P22" s="89"/>
      <c r="Q22" s="4"/>
      <c r="R22" s="90"/>
      <c r="S22" s="90"/>
      <c r="T22" s="90"/>
      <c r="U22" s="90"/>
      <c r="V22" s="139" t="s">
        <v>72</v>
      </c>
      <c r="W22" s="139" t="s">
        <v>24</v>
      </c>
      <c r="X22" s="52"/>
    </row>
    <row r="23" spans="1:24" x14ac:dyDescent="0.2">
      <c r="A23" s="2" t="s">
        <v>295</v>
      </c>
      <c r="B23" s="81" t="s">
        <v>296</v>
      </c>
      <c r="C23" s="5" t="s">
        <v>73</v>
      </c>
      <c r="D23" s="44" t="s">
        <v>73</v>
      </c>
      <c r="E23" s="5" t="s">
        <v>86</v>
      </c>
      <c r="F23" s="5" t="s">
        <v>86</v>
      </c>
      <c r="G23" s="49"/>
      <c r="H23" s="49"/>
      <c r="I23" s="49"/>
      <c r="J23" s="5"/>
      <c r="K23" s="5" t="s">
        <v>86</v>
      </c>
      <c r="L23" s="5" t="s">
        <v>86</v>
      </c>
      <c r="M23" s="31">
        <v>200000</v>
      </c>
      <c r="N23" s="32">
        <v>1</v>
      </c>
      <c r="O23" s="49" t="s">
        <v>297</v>
      </c>
      <c r="P23" s="95">
        <v>200000</v>
      </c>
      <c r="Q23" s="4">
        <v>43752</v>
      </c>
      <c r="R23" s="90" t="s">
        <v>298</v>
      </c>
      <c r="S23" s="90"/>
      <c r="T23" s="90"/>
      <c r="U23" s="90"/>
      <c r="V23" s="33" t="s">
        <v>87</v>
      </c>
      <c r="W23" s="33" t="s">
        <v>23</v>
      </c>
      <c r="X23" s="53" t="s">
        <v>299</v>
      </c>
    </row>
    <row r="24" spans="1:24" ht="22.5" x14ac:dyDescent="0.2">
      <c r="A24" s="2" t="s">
        <v>300</v>
      </c>
      <c r="B24" s="81" t="s">
        <v>301</v>
      </c>
      <c r="C24" s="5" t="s">
        <v>73</v>
      </c>
      <c r="D24" s="44" t="s">
        <v>73</v>
      </c>
      <c r="E24" s="5" t="s">
        <v>86</v>
      </c>
      <c r="F24" s="5" t="s">
        <v>86</v>
      </c>
      <c r="G24" s="5"/>
      <c r="H24" s="5"/>
      <c r="I24" s="5"/>
      <c r="J24" s="5"/>
      <c r="K24" s="5" t="s">
        <v>86</v>
      </c>
      <c r="L24" s="5" t="s">
        <v>86</v>
      </c>
      <c r="M24" s="31">
        <v>100000</v>
      </c>
      <c r="N24" s="32">
        <v>1</v>
      </c>
      <c r="O24" s="49" t="s">
        <v>302</v>
      </c>
      <c r="P24" s="89">
        <v>100000</v>
      </c>
      <c r="Q24" s="4">
        <v>43752</v>
      </c>
      <c r="R24" s="90" t="s">
        <v>303</v>
      </c>
      <c r="S24" s="90"/>
      <c r="T24" s="90"/>
      <c r="U24" s="90"/>
      <c r="V24" s="33" t="s">
        <v>87</v>
      </c>
      <c r="W24" s="33" t="s">
        <v>23</v>
      </c>
      <c r="X24" s="53" t="s">
        <v>304</v>
      </c>
    </row>
    <row r="25" spans="1:24" x14ac:dyDescent="0.2">
      <c r="A25" s="2" t="s">
        <v>305</v>
      </c>
      <c r="B25" s="81" t="s">
        <v>306</v>
      </c>
      <c r="C25" s="4" t="s">
        <v>73</v>
      </c>
      <c r="D25" s="44" t="s">
        <v>73</v>
      </c>
      <c r="E25" s="3" t="s">
        <v>86</v>
      </c>
      <c r="F25" s="5" t="s">
        <v>86</v>
      </c>
      <c r="G25" s="4"/>
      <c r="H25" s="4"/>
      <c r="I25" s="4"/>
      <c r="J25" s="4"/>
      <c r="K25" s="4" t="s">
        <v>86</v>
      </c>
      <c r="L25" s="5" t="s">
        <v>86</v>
      </c>
      <c r="M25" s="31">
        <v>230964.86</v>
      </c>
      <c r="N25" s="32">
        <v>1</v>
      </c>
      <c r="O25" s="49" t="s">
        <v>307</v>
      </c>
      <c r="P25" s="89">
        <v>230964.86</v>
      </c>
      <c r="Q25" s="4">
        <v>43752</v>
      </c>
      <c r="R25" s="90" t="s">
        <v>308</v>
      </c>
      <c r="S25" s="90"/>
      <c r="T25" s="90"/>
      <c r="U25" s="90"/>
      <c r="V25" s="33" t="s">
        <v>87</v>
      </c>
      <c r="W25" s="33" t="s">
        <v>22</v>
      </c>
      <c r="X25" s="53" t="s">
        <v>309</v>
      </c>
    </row>
    <row r="26" spans="1:24" x14ac:dyDescent="0.2">
      <c r="A26" s="2" t="s">
        <v>310</v>
      </c>
      <c r="B26" s="138" t="s">
        <v>311</v>
      </c>
      <c r="C26" s="4" t="s">
        <v>73</v>
      </c>
      <c r="D26" s="44" t="s">
        <v>73</v>
      </c>
      <c r="E26" s="3" t="s">
        <v>86</v>
      </c>
      <c r="F26" s="5" t="s">
        <v>86</v>
      </c>
      <c r="G26" s="47"/>
      <c r="H26" s="4"/>
      <c r="I26" s="4"/>
      <c r="J26" s="4"/>
      <c r="K26" s="4" t="s">
        <v>86</v>
      </c>
      <c r="L26" s="5" t="s">
        <v>86</v>
      </c>
      <c r="M26" s="31">
        <v>82960.92</v>
      </c>
      <c r="N26" s="32">
        <v>1</v>
      </c>
      <c r="O26" s="49" t="s">
        <v>312</v>
      </c>
      <c r="P26" s="89">
        <v>82960.92</v>
      </c>
      <c r="Q26" s="4">
        <v>43752</v>
      </c>
      <c r="R26" s="90" t="s">
        <v>313</v>
      </c>
      <c r="S26" s="90"/>
      <c r="T26" s="90"/>
      <c r="U26" s="90"/>
      <c r="V26" s="33" t="s">
        <v>87</v>
      </c>
      <c r="W26" s="33" t="s">
        <v>22</v>
      </c>
      <c r="X26" s="53" t="s">
        <v>314</v>
      </c>
    </row>
    <row r="27" spans="1:24" ht="22.5" x14ac:dyDescent="0.2">
      <c r="A27" s="2" t="s">
        <v>315</v>
      </c>
      <c r="B27" s="138" t="s">
        <v>316</v>
      </c>
      <c r="C27" s="4" t="s">
        <v>73</v>
      </c>
      <c r="D27" s="44" t="s">
        <v>73</v>
      </c>
      <c r="E27" s="3" t="s">
        <v>86</v>
      </c>
      <c r="F27" s="5" t="s">
        <v>86</v>
      </c>
      <c r="G27" s="47"/>
      <c r="H27" s="4"/>
      <c r="I27" s="4"/>
      <c r="J27" s="4"/>
      <c r="K27" s="4" t="s">
        <v>86</v>
      </c>
      <c r="L27" s="5" t="s">
        <v>86</v>
      </c>
      <c r="M27" s="31">
        <v>242983.27</v>
      </c>
      <c r="N27" s="32">
        <v>1</v>
      </c>
      <c r="O27" s="49" t="s">
        <v>317</v>
      </c>
      <c r="P27" s="89">
        <v>242983.27</v>
      </c>
      <c r="Q27" s="4">
        <v>43752</v>
      </c>
      <c r="R27" s="90" t="s">
        <v>148</v>
      </c>
      <c r="S27" s="90"/>
      <c r="T27" s="90"/>
      <c r="U27" s="90"/>
      <c r="V27" s="33" t="s">
        <v>87</v>
      </c>
      <c r="W27" s="33" t="s">
        <v>22</v>
      </c>
      <c r="X27" s="53" t="s">
        <v>318</v>
      </c>
    </row>
    <row r="28" spans="1:24" ht="22.5" x14ac:dyDescent="0.2">
      <c r="A28" s="2" t="s">
        <v>319</v>
      </c>
      <c r="B28" s="93" t="s">
        <v>320</v>
      </c>
      <c r="C28" s="4" t="s">
        <v>73</v>
      </c>
      <c r="D28" s="44" t="s">
        <v>73</v>
      </c>
      <c r="E28" s="5" t="s">
        <v>86</v>
      </c>
      <c r="F28" s="5" t="s">
        <v>86</v>
      </c>
      <c r="G28" s="5"/>
      <c r="H28" s="5"/>
      <c r="I28" s="5"/>
      <c r="J28" s="5"/>
      <c r="K28" s="5" t="s">
        <v>86</v>
      </c>
      <c r="L28" s="5" t="s">
        <v>86</v>
      </c>
      <c r="M28" s="31">
        <v>152300.85</v>
      </c>
      <c r="N28" s="32">
        <v>1</v>
      </c>
      <c r="O28" s="49" t="s">
        <v>321</v>
      </c>
      <c r="P28" s="140">
        <v>152300.85</v>
      </c>
      <c r="Q28" s="4">
        <v>43752</v>
      </c>
      <c r="R28" s="90" t="s">
        <v>113</v>
      </c>
      <c r="S28" s="90"/>
      <c r="T28" s="90"/>
      <c r="U28" s="90"/>
      <c r="V28" s="33" t="s">
        <v>87</v>
      </c>
      <c r="W28" s="33" t="s">
        <v>22</v>
      </c>
      <c r="X28" s="52" t="s">
        <v>322</v>
      </c>
    </row>
    <row r="29" spans="1:24" ht="22.5" x14ac:dyDescent="0.2">
      <c r="A29" s="2" t="s">
        <v>323</v>
      </c>
      <c r="B29" s="93" t="s">
        <v>324</v>
      </c>
      <c r="C29" s="5" t="s">
        <v>73</v>
      </c>
      <c r="D29" s="44" t="s">
        <v>73</v>
      </c>
      <c r="E29" s="5" t="s">
        <v>86</v>
      </c>
      <c r="F29" s="5" t="s">
        <v>86</v>
      </c>
      <c r="G29" s="5"/>
      <c r="H29" s="5"/>
      <c r="I29" s="5"/>
      <c r="J29" s="5"/>
      <c r="K29" s="5" t="s">
        <v>86</v>
      </c>
      <c r="L29" s="5" t="s">
        <v>86</v>
      </c>
      <c r="M29" s="31">
        <v>117157.08</v>
      </c>
      <c r="N29" s="32">
        <v>1</v>
      </c>
      <c r="O29" s="49" t="s">
        <v>325</v>
      </c>
      <c r="P29" s="56">
        <v>117157.08</v>
      </c>
      <c r="Q29" s="4">
        <v>43766</v>
      </c>
      <c r="R29" s="90" t="s">
        <v>326</v>
      </c>
      <c r="S29" s="90"/>
      <c r="T29" s="90"/>
      <c r="U29" s="90"/>
      <c r="V29" s="33" t="s">
        <v>87</v>
      </c>
      <c r="W29" s="33" t="s">
        <v>22</v>
      </c>
      <c r="X29" s="53" t="s">
        <v>327</v>
      </c>
    </row>
    <row r="30" spans="1:24" ht="22.5" x14ac:dyDescent="0.2">
      <c r="A30" s="2" t="s">
        <v>328</v>
      </c>
      <c r="B30" s="93" t="s">
        <v>329</v>
      </c>
      <c r="C30" s="5" t="s">
        <v>73</v>
      </c>
      <c r="D30" s="44" t="s">
        <v>73</v>
      </c>
      <c r="E30" s="5" t="s">
        <v>86</v>
      </c>
      <c r="F30" s="5" t="s">
        <v>86</v>
      </c>
      <c r="G30" s="5"/>
      <c r="H30" s="5"/>
      <c r="I30" s="5"/>
      <c r="J30" s="5"/>
      <c r="K30" s="5" t="s">
        <v>86</v>
      </c>
      <c r="L30" s="5" t="s">
        <v>86</v>
      </c>
      <c r="M30" s="31">
        <v>111385</v>
      </c>
      <c r="N30" s="32">
        <v>1</v>
      </c>
      <c r="O30" s="49" t="s">
        <v>330</v>
      </c>
      <c r="P30" s="89">
        <v>111385</v>
      </c>
      <c r="Q30" s="4">
        <v>43766</v>
      </c>
      <c r="R30" s="90" t="s">
        <v>331</v>
      </c>
      <c r="S30" s="90"/>
      <c r="T30" s="90"/>
      <c r="U30" s="90"/>
      <c r="V30" s="33" t="s">
        <v>87</v>
      </c>
      <c r="W30" s="33" t="s">
        <v>22</v>
      </c>
      <c r="X30" s="53" t="s">
        <v>332</v>
      </c>
    </row>
    <row r="31" spans="1:24" x14ac:dyDescent="0.2">
      <c r="A31" s="2" t="s">
        <v>333</v>
      </c>
      <c r="B31" s="93" t="s">
        <v>334</v>
      </c>
      <c r="C31" s="5" t="s">
        <v>73</v>
      </c>
      <c r="D31" s="44" t="s">
        <v>73</v>
      </c>
      <c r="E31" s="5" t="s">
        <v>86</v>
      </c>
      <c r="F31" s="5" t="s">
        <v>86</v>
      </c>
      <c r="G31" s="5"/>
      <c r="H31" s="5"/>
      <c r="I31" s="5"/>
      <c r="J31" s="5"/>
      <c r="K31" s="5" t="s">
        <v>86</v>
      </c>
      <c r="L31" s="5" t="s">
        <v>86</v>
      </c>
      <c r="M31" s="31">
        <v>709770</v>
      </c>
      <c r="N31" s="32">
        <v>1</v>
      </c>
      <c r="O31" s="49" t="s">
        <v>335</v>
      </c>
      <c r="P31" s="89">
        <v>709770</v>
      </c>
      <c r="Q31" s="4">
        <v>43766</v>
      </c>
      <c r="R31" s="90" t="s">
        <v>336</v>
      </c>
      <c r="S31" s="90"/>
      <c r="T31" s="90"/>
      <c r="U31" s="90"/>
      <c r="V31" s="33" t="s">
        <v>87</v>
      </c>
      <c r="W31" s="33" t="s">
        <v>22</v>
      </c>
      <c r="X31" s="53" t="s">
        <v>337</v>
      </c>
    </row>
    <row r="32" spans="1:24" x14ac:dyDescent="0.2">
      <c r="A32" s="2" t="s">
        <v>338</v>
      </c>
      <c r="B32" s="93" t="s">
        <v>339</v>
      </c>
      <c r="C32" s="5" t="s">
        <v>73</v>
      </c>
      <c r="D32" s="44" t="s">
        <v>73</v>
      </c>
      <c r="E32" s="5" t="s">
        <v>86</v>
      </c>
      <c r="F32" s="5" t="s">
        <v>86</v>
      </c>
      <c r="G32" s="5"/>
      <c r="H32" s="5"/>
      <c r="I32" s="5"/>
      <c r="J32" s="5"/>
      <c r="K32" s="5" t="s">
        <v>86</v>
      </c>
      <c r="L32" s="5" t="s">
        <v>86</v>
      </c>
      <c r="M32" s="31">
        <v>119250</v>
      </c>
      <c r="N32" s="32">
        <v>1</v>
      </c>
      <c r="O32" s="49" t="s">
        <v>340</v>
      </c>
      <c r="P32" s="89">
        <v>119250</v>
      </c>
      <c r="Q32" s="4">
        <v>43766</v>
      </c>
      <c r="R32" s="90" t="s">
        <v>341</v>
      </c>
      <c r="S32" s="90"/>
      <c r="T32" s="90"/>
      <c r="U32" s="90"/>
      <c r="V32" s="33" t="s">
        <v>87</v>
      </c>
      <c r="W32" s="33" t="s">
        <v>22</v>
      </c>
      <c r="X32" s="53" t="s">
        <v>314</v>
      </c>
    </row>
    <row r="33" spans="1:24" ht="22.5" x14ac:dyDescent="0.2">
      <c r="A33" s="2" t="s">
        <v>342</v>
      </c>
      <c r="B33" s="93" t="s">
        <v>343</v>
      </c>
      <c r="C33" s="5" t="s">
        <v>73</v>
      </c>
      <c r="D33" s="44" t="s">
        <v>73</v>
      </c>
      <c r="E33" s="5" t="s">
        <v>86</v>
      </c>
      <c r="F33" s="5" t="s">
        <v>86</v>
      </c>
      <c r="G33" s="5"/>
      <c r="H33" s="5"/>
      <c r="I33" s="5"/>
      <c r="J33" s="5"/>
      <c r="K33" s="5" t="s">
        <v>86</v>
      </c>
      <c r="L33" s="5" t="s">
        <v>86</v>
      </c>
      <c r="M33" s="31">
        <v>187900</v>
      </c>
      <c r="N33" s="32">
        <v>1</v>
      </c>
      <c r="O33" s="49" t="s">
        <v>344</v>
      </c>
      <c r="P33" s="89">
        <v>187900</v>
      </c>
      <c r="Q33" s="4">
        <v>43766</v>
      </c>
      <c r="R33" s="90" t="s">
        <v>345</v>
      </c>
      <c r="S33" s="90"/>
      <c r="T33" s="90"/>
      <c r="U33" s="90"/>
      <c r="V33" s="33" t="s">
        <v>87</v>
      </c>
      <c r="W33" s="33" t="s">
        <v>22</v>
      </c>
      <c r="X33" s="53" t="s">
        <v>346</v>
      </c>
    </row>
    <row r="34" spans="1:24" x14ac:dyDescent="0.2">
      <c r="A34" s="2" t="s">
        <v>347</v>
      </c>
      <c r="B34" s="93" t="s">
        <v>348</v>
      </c>
      <c r="C34" s="5" t="s">
        <v>73</v>
      </c>
      <c r="D34" s="44" t="s">
        <v>73</v>
      </c>
      <c r="E34" s="5" t="s">
        <v>349</v>
      </c>
      <c r="F34" s="49" t="s">
        <v>350</v>
      </c>
      <c r="G34" s="5"/>
      <c r="H34" s="5"/>
      <c r="I34" s="5"/>
      <c r="J34" s="5"/>
      <c r="K34" s="5">
        <v>43789</v>
      </c>
      <c r="L34" s="49" t="s">
        <v>351</v>
      </c>
      <c r="M34" s="31">
        <f>85000*N34</f>
        <v>85000</v>
      </c>
      <c r="N34" s="32">
        <v>1</v>
      </c>
      <c r="O34" s="49" t="s">
        <v>352</v>
      </c>
      <c r="P34" s="89">
        <v>85000</v>
      </c>
      <c r="Q34" s="4">
        <v>43857</v>
      </c>
      <c r="R34" s="90" t="s">
        <v>353</v>
      </c>
      <c r="S34" s="90"/>
      <c r="T34" s="90"/>
      <c r="U34" s="90"/>
      <c r="V34" s="33" t="s">
        <v>72</v>
      </c>
      <c r="W34" s="33" t="s">
        <v>22</v>
      </c>
      <c r="X34" s="53"/>
    </row>
    <row r="35" spans="1:24" x14ac:dyDescent="0.2">
      <c r="A35" s="2" t="s">
        <v>354</v>
      </c>
      <c r="B35" s="138" t="s">
        <v>355</v>
      </c>
      <c r="C35" s="4">
        <v>43769</v>
      </c>
      <c r="D35" s="49" t="s">
        <v>356</v>
      </c>
      <c r="E35" s="3" t="s">
        <v>357</v>
      </c>
      <c r="F35" s="49" t="s">
        <v>358</v>
      </c>
      <c r="G35" s="49" t="s">
        <v>359</v>
      </c>
      <c r="H35" s="4"/>
      <c r="I35" s="4"/>
      <c r="J35" s="4"/>
      <c r="K35" s="4">
        <v>43789</v>
      </c>
      <c r="L35" s="49" t="s">
        <v>360</v>
      </c>
      <c r="M35" s="31">
        <f>720514+825000+1045400.6+759577.5+921278+943436+742069+936768.13+1063149.99+645294.28+1095704.92</f>
        <v>9698192.4199999999</v>
      </c>
      <c r="N35" s="32">
        <v>11</v>
      </c>
      <c r="O35" s="49" t="s">
        <v>361</v>
      </c>
      <c r="P35" s="89">
        <v>746429.04</v>
      </c>
      <c r="Q35" s="94">
        <v>43815</v>
      </c>
      <c r="R35" s="90" t="s">
        <v>362</v>
      </c>
      <c r="S35" s="90"/>
      <c r="T35" s="90"/>
      <c r="U35" s="90"/>
      <c r="V35" s="33" t="s">
        <v>72</v>
      </c>
      <c r="W35" s="33" t="s">
        <v>24</v>
      </c>
      <c r="X35" s="53"/>
    </row>
    <row r="36" spans="1:24" ht="22.5" x14ac:dyDescent="0.2">
      <c r="A36" s="2" t="s">
        <v>363</v>
      </c>
      <c r="B36" s="81" t="s">
        <v>364</v>
      </c>
      <c r="C36" s="4" t="s">
        <v>73</v>
      </c>
      <c r="D36" s="44" t="s">
        <v>73</v>
      </c>
      <c r="E36" s="3" t="s">
        <v>86</v>
      </c>
      <c r="F36" s="5" t="s">
        <v>86</v>
      </c>
      <c r="G36" s="49"/>
      <c r="H36" s="4"/>
      <c r="I36" s="4"/>
      <c r="J36" s="4"/>
      <c r="K36" s="4" t="s">
        <v>86</v>
      </c>
      <c r="L36" s="5" t="s">
        <v>86</v>
      </c>
      <c r="M36" s="33">
        <v>113092</v>
      </c>
      <c r="N36" s="32">
        <v>1</v>
      </c>
      <c r="O36" s="49" t="s">
        <v>365</v>
      </c>
      <c r="P36" s="89">
        <v>113092</v>
      </c>
      <c r="Q36" s="94">
        <v>43780</v>
      </c>
      <c r="R36" s="90" t="s">
        <v>366</v>
      </c>
      <c r="S36" s="90"/>
      <c r="T36" s="90"/>
      <c r="U36" s="90"/>
      <c r="V36" s="33" t="s">
        <v>87</v>
      </c>
      <c r="W36" s="33" t="s">
        <v>22</v>
      </c>
      <c r="X36" s="78" t="s">
        <v>327</v>
      </c>
    </row>
    <row r="37" spans="1:24" x14ac:dyDescent="0.2">
      <c r="A37" s="2" t="s">
        <v>367</v>
      </c>
      <c r="B37" s="81" t="s">
        <v>368</v>
      </c>
      <c r="C37" s="4" t="s">
        <v>73</v>
      </c>
      <c r="D37" s="44" t="s">
        <v>73</v>
      </c>
      <c r="E37" s="3" t="s">
        <v>86</v>
      </c>
      <c r="F37" s="3" t="s">
        <v>86</v>
      </c>
      <c r="G37" s="5"/>
      <c r="H37" s="5"/>
      <c r="I37" s="5"/>
      <c r="J37" s="5"/>
      <c r="K37" s="4" t="s">
        <v>86</v>
      </c>
      <c r="L37" s="5" t="s">
        <v>86</v>
      </c>
      <c r="M37" s="31">
        <v>294097.86</v>
      </c>
      <c r="N37" s="32">
        <v>1</v>
      </c>
      <c r="O37" s="49" t="s">
        <v>369</v>
      </c>
      <c r="P37" s="89">
        <v>294097.86</v>
      </c>
      <c r="Q37" s="94">
        <v>43780</v>
      </c>
      <c r="R37" s="90" t="s">
        <v>370</v>
      </c>
      <c r="S37" s="90"/>
      <c r="T37" s="90"/>
      <c r="U37" s="90"/>
      <c r="V37" s="33" t="s">
        <v>87</v>
      </c>
      <c r="W37" s="33" t="s">
        <v>22</v>
      </c>
      <c r="X37" s="53" t="s">
        <v>371</v>
      </c>
    </row>
    <row r="38" spans="1:24" x14ac:dyDescent="0.2">
      <c r="A38" s="2" t="s">
        <v>372</v>
      </c>
      <c r="B38" s="141" t="s">
        <v>373</v>
      </c>
      <c r="C38" s="4" t="s">
        <v>73</v>
      </c>
      <c r="D38" s="44" t="s">
        <v>73</v>
      </c>
      <c r="E38" s="3" t="s">
        <v>86</v>
      </c>
      <c r="F38" s="3" t="s">
        <v>86</v>
      </c>
      <c r="G38" s="5"/>
      <c r="H38" s="5"/>
      <c r="I38" s="5"/>
      <c r="J38" s="5"/>
      <c r="K38" s="4" t="s">
        <v>86</v>
      </c>
      <c r="L38" s="5" t="s">
        <v>86</v>
      </c>
      <c r="M38" s="31">
        <v>110137.38</v>
      </c>
      <c r="N38" s="32">
        <v>1</v>
      </c>
      <c r="O38" s="49" t="s">
        <v>374</v>
      </c>
      <c r="P38" s="89">
        <v>110137.38</v>
      </c>
      <c r="Q38" s="94">
        <v>43780</v>
      </c>
      <c r="R38" s="90" t="s">
        <v>148</v>
      </c>
      <c r="S38" s="90"/>
      <c r="T38" s="90"/>
      <c r="U38" s="90"/>
      <c r="V38" s="33" t="s">
        <v>87</v>
      </c>
      <c r="W38" s="33" t="s">
        <v>22</v>
      </c>
      <c r="X38" s="53" t="s">
        <v>318</v>
      </c>
    </row>
    <row r="39" spans="1:24" x14ac:dyDescent="0.2">
      <c r="A39" s="2" t="s">
        <v>375</v>
      </c>
      <c r="B39" s="81" t="s">
        <v>376</v>
      </c>
      <c r="C39" s="4" t="s">
        <v>73</v>
      </c>
      <c r="D39" s="44" t="s">
        <v>73</v>
      </c>
      <c r="E39" s="3" t="s">
        <v>86</v>
      </c>
      <c r="F39" s="3" t="s">
        <v>86</v>
      </c>
      <c r="G39" s="5"/>
      <c r="H39" s="5"/>
      <c r="I39" s="5"/>
      <c r="J39" s="5"/>
      <c r="K39" s="4" t="s">
        <v>86</v>
      </c>
      <c r="L39" s="5" t="s">
        <v>86</v>
      </c>
      <c r="M39" s="31">
        <v>260296</v>
      </c>
      <c r="N39" s="32">
        <v>1</v>
      </c>
      <c r="O39" s="49" t="s">
        <v>377</v>
      </c>
      <c r="P39" s="89">
        <v>260296</v>
      </c>
      <c r="Q39" s="94">
        <v>43780</v>
      </c>
      <c r="R39" s="90" t="s">
        <v>378</v>
      </c>
      <c r="S39" s="90"/>
      <c r="T39" s="90"/>
      <c r="U39" s="90"/>
      <c r="V39" s="33" t="s">
        <v>87</v>
      </c>
      <c r="W39" s="33" t="s">
        <v>22</v>
      </c>
      <c r="X39" s="53" t="s">
        <v>379</v>
      </c>
    </row>
    <row r="40" spans="1:24" x14ac:dyDescent="0.2">
      <c r="A40" s="2" t="s">
        <v>380</v>
      </c>
      <c r="B40" s="138" t="s">
        <v>381</v>
      </c>
      <c r="C40" s="4" t="s">
        <v>73</v>
      </c>
      <c r="D40" s="44" t="s">
        <v>73</v>
      </c>
      <c r="E40" s="3" t="s">
        <v>86</v>
      </c>
      <c r="F40" s="5" t="s">
        <v>86</v>
      </c>
      <c r="G40" s="5"/>
      <c r="H40" s="5"/>
      <c r="I40" s="5"/>
      <c r="J40" s="5"/>
      <c r="K40" s="4" t="s">
        <v>86</v>
      </c>
      <c r="L40" s="5" t="s">
        <v>86</v>
      </c>
      <c r="M40" s="31">
        <v>96693.32</v>
      </c>
      <c r="N40" s="32">
        <v>1</v>
      </c>
      <c r="O40" s="49" t="s">
        <v>382</v>
      </c>
      <c r="P40" s="89">
        <v>96693.32</v>
      </c>
      <c r="Q40" s="94">
        <v>43808</v>
      </c>
      <c r="R40" s="90" t="s">
        <v>383</v>
      </c>
      <c r="S40" s="90"/>
      <c r="T40" s="90"/>
      <c r="U40" s="90"/>
      <c r="V40" s="33" t="s">
        <v>87</v>
      </c>
      <c r="W40" s="33" t="s">
        <v>24</v>
      </c>
      <c r="X40" s="53" t="s">
        <v>384</v>
      </c>
    </row>
    <row r="41" spans="1:24" ht="22.5" x14ac:dyDescent="0.2">
      <c r="A41" s="2" t="s">
        <v>385</v>
      </c>
      <c r="B41" s="138" t="s">
        <v>386</v>
      </c>
      <c r="C41" s="5" t="s">
        <v>73</v>
      </c>
      <c r="D41" s="44" t="s">
        <v>73</v>
      </c>
      <c r="E41" s="3" t="s">
        <v>86</v>
      </c>
      <c r="F41" s="5" t="s">
        <v>86</v>
      </c>
      <c r="G41" s="5"/>
      <c r="H41" s="5"/>
      <c r="I41" s="5"/>
      <c r="J41" s="5"/>
      <c r="K41" s="4" t="s">
        <v>86</v>
      </c>
      <c r="L41" s="5" t="s">
        <v>86</v>
      </c>
      <c r="M41" s="31">
        <v>117500</v>
      </c>
      <c r="N41" s="32">
        <v>1</v>
      </c>
      <c r="O41" s="49" t="s">
        <v>387</v>
      </c>
      <c r="P41" s="89">
        <v>117500</v>
      </c>
      <c r="Q41" s="94">
        <v>43808</v>
      </c>
      <c r="R41" s="90" t="s">
        <v>388</v>
      </c>
      <c r="S41" s="90"/>
      <c r="T41" s="90"/>
      <c r="U41" s="90"/>
      <c r="V41" s="33" t="s">
        <v>87</v>
      </c>
      <c r="W41" s="33" t="s">
        <v>24</v>
      </c>
      <c r="X41" s="53" t="s">
        <v>389</v>
      </c>
    </row>
    <row r="42" spans="1:24" x14ac:dyDescent="0.2">
      <c r="A42" s="2" t="s">
        <v>390</v>
      </c>
      <c r="B42" s="81" t="s">
        <v>391</v>
      </c>
      <c r="C42" s="5" t="s">
        <v>73</v>
      </c>
      <c r="D42" s="5" t="s">
        <v>73</v>
      </c>
      <c r="E42" s="5" t="s">
        <v>86</v>
      </c>
      <c r="F42" s="5" t="s">
        <v>86</v>
      </c>
      <c r="G42" s="49"/>
      <c r="H42" s="5"/>
      <c r="I42" s="5"/>
      <c r="J42" s="5"/>
      <c r="K42" s="5" t="s">
        <v>86</v>
      </c>
      <c r="L42" s="5" t="s">
        <v>86</v>
      </c>
      <c r="M42" s="33">
        <v>292741.01</v>
      </c>
      <c r="N42" s="32">
        <v>1</v>
      </c>
      <c r="O42" s="49" t="s">
        <v>392</v>
      </c>
      <c r="P42" s="89">
        <v>292741.01</v>
      </c>
      <c r="Q42" s="94">
        <v>43843</v>
      </c>
      <c r="R42" s="90" t="s">
        <v>393</v>
      </c>
      <c r="S42" s="90"/>
      <c r="T42" s="90"/>
      <c r="U42" s="90"/>
      <c r="V42" s="33" t="s">
        <v>87</v>
      </c>
      <c r="W42" s="33" t="s">
        <v>24</v>
      </c>
      <c r="X42" s="53" t="s">
        <v>389</v>
      </c>
    </row>
    <row r="43" spans="1:24" x14ac:dyDescent="0.2">
      <c r="A43" s="2" t="s">
        <v>394</v>
      </c>
      <c r="B43" s="81" t="s">
        <v>395</v>
      </c>
      <c r="C43" s="5" t="s">
        <v>73</v>
      </c>
      <c r="D43" s="44" t="s">
        <v>73</v>
      </c>
      <c r="E43" s="5" t="s">
        <v>396</v>
      </c>
      <c r="F43" s="49" t="s">
        <v>397</v>
      </c>
      <c r="G43" s="49" t="s">
        <v>398</v>
      </c>
      <c r="H43" s="49" t="s">
        <v>399</v>
      </c>
      <c r="I43" s="49" t="s">
        <v>400</v>
      </c>
      <c r="J43" s="49" t="s">
        <v>401</v>
      </c>
      <c r="K43" s="5">
        <v>43858</v>
      </c>
      <c r="L43" s="49" t="s">
        <v>402</v>
      </c>
      <c r="M43" s="33">
        <v>3194826.67</v>
      </c>
      <c r="N43" s="32">
        <v>8</v>
      </c>
      <c r="O43" s="49" t="s">
        <v>403</v>
      </c>
      <c r="P43" s="89">
        <v>255000</v>
      </c>
      <c r="Q43" s="94">
        <v>43885</v>
      </c>
      <c r="R43" s="90" t="s">
        <v>404</v>
      </c>
      <c r="S43" s="90"/>
      <c r="T43" s="90"/>
      <c r="U43" s="90"/>
      <c r="V43" s="33" t="s">
        <v>72</v>
      </c>
      <c r="W43" s="33" t="s">
        <v>22</v>
      </c>
      <c r="X43" s="53"/>
    </row>
    <row r="44" spans="1:24" ht="22.5" x14ac:dyDescent="0.2">
      <c r="A44" s="2" t="s">
        <v>405</v>
      </c>
      <c r="B44" s="81" t="s">
        <v>406</v>
      </c>
      <c r="C44" s="3" t="s">
        <v>73</v>
      </c>
      <c r="D44" s="44" t="s">
        <v>73</v>
      </c>
      <c r="E44" s="5" t="s">
        <v>86</v>
      </c>
      <c r="F44" s="5" t="s">
        <v>86</v>
      </c>
      <c r="G44" s="3"/>
      <c r="H44" s="3"/>
      <c r="I44" s="49"/>
      <c r="J44" s="3"/>
      <c r="K44" s="4" t="s">
        <v>86</v>
      </c>
      <c r="L44" s="5" t="s">
        <v>86</v>
      </c>
      <c r="M44" s="33">
        <v>89699.34</v>
      </c>
      <c r="N44" s="32">
        <v>1</v>
      </c>
      <c r="O44" s="49" t="s">
        <v>407</v>
      </c>
      <c r="P44" s="89">
        <v>89699.34</v>
      </c>
      <c r="Q44" s="94">
        <v>43815</v>
      </c>
      <c r="R44" s="90" t="s">
        <v>408</v>
      </c>
      <c r="S44" s="90"/>
      <c r="T44" s="90"/>
      <c r="U44" s="90"/>
      <c r="V44" s="33" t="s">
        <v>87</v>
      </c>
      <c r="W44" s="33" t="s">
        <v>22</v>
      </c>
      <c r="X44" s="53" t="s">
        <v>409</v>
      </c>
    </row>
    <row r="45" spans="1:24" ht="22.5" x14ac:dyDescent="0.2">
      <c r="A45" s="2" t="s">
        <v>410</v>
      </c>
      <c r="B45" s="81" t="s">
        <v>411</v>
      </c>
      <c r="C45" s="3" t="s">
        <v>73</v>
      </c>
      <c r="D45" s="44" t="s">
        <v>73</v>
      </c>
      <c r="E45" s="5" t="s">
        <v>86</v>
      </c>
      <c r="F45" s="5" t="s">
        <v>86</v>
      </c>
      <c r="G45" s="5"/>
      <c r="H45" s="49"/>
      <c r="I45" s="5"/>
      <c r="J45" s="5"/>
      <c r="K45" s="5" t="s">
        <v>86</v>
      </c>
      <c r="L45" s="5" t="s">
        <v>86</v>
      </c>
      <c r="M45" s="31">
        <v>127007</v>
      </c>
      <c r="N45" s="32">
        <v>1</v>
      </c>
      <c r="O45" s="49" t="s">
        <v>412</v>
      </c>
      <c r="P45" s="95">
        <v>127007</v>
      </c>
      <c r="Q45" s="94">
        <v>43815</v>
      </c>
      <c r="R45" s="90" t="s">
        <v>196</v>
      </c>
      <c r="S45" s="90"/>
      <c r="T45" s="90"/>
      <c r="U45" s="90"/>
      <c r="V45" s="33" t="s">
        <v>87</v>
      </c>
      <c r="W45" s="33" t="s">
        <v>22</v>
      </c>
      <c r="X45" s="53" t="s">
        <v>413</v>
      </c>
    </row>
    <row r="46" spans="1:24" x14ac:dyDescent="0.2">
      <c r="A46" s="2" t="s">
        <v>414</v>
      </c>
      <c r="B46" s="138" t="s">
        <v>415</v>
      </c>
      <c r="C46" s="5">
        <v>43837</v>
      </c>
      <c r="D46" s="49" t="s">
        <v>416</v>
      </c>
      <c r="E46" s="5" t="s">
        <v>268</v>
      </c>
      <c r="F46" s="49" t="s">
        <v>417</v>
      </c>
      <c r="G46" s="49" t="s">
        <v>418</v>
      </c>
      <c r="H46" s="49"/>
      <c r="I46" s="5"/>
      <c r="J46" s="5"/>
      <c r="K46" s="5">
        <v>43866</v>
      </c>
      <c r="L46" s="49" t="s">
        <v>419</v>
      </c>
      <c r="M46" s="31">
        <f>128718+104819+68295+82430+79932.5+85217+75109+59360+77585</f>
        <v>761465.5</v>
      </c>
      <c r="N46" s="32">
        <v>9</v>
      </c>
      <c r="O46" s="49" t="s">
        <v>420</v>
      </c>
      <c r="P46" s="89">
        <v>59360</v>
      </c>
      <c r="Q46" s="4">
        <v>43885</v>
      </c>
      <c r="R46" s="90" t="s">
        <v>421</v>
      </c>
      <c r="S46" s="90"/>
      <c r="T46" s="90"/>
      <c r="U46" s="90"/>
      <c r="V46" s="33" t="s">
        <v>72</v>
      </c>
      <c r="W46" s="33" t="s">
        <v>24</v>
      </c>
      <c r="X46" s="53"/>
    </row>
    <row r="47" spans="1:24" x14ac:dyDescent="0.2">
      <c r="A47" s="2" t="s">
        <v>422</v>
      </c>
      <c r="B47" s="138" t="s">
        <v>288</v>
      </c>
      <c r="C47" s="5">
        <v>43832</v>
      </c>
      <c r="D47" s="49" t="s">
        <v>423</v>
      </c>
      <c r="E47" s="5" t="s">
        <v>424</v>
      </c>
      <c r="F47" s="49" t="s">
        <v>425</v>
      </c>
      <c r="G47" s="49" t="s">
        <v>426</v>
      </c>
      <c r="H47" s="49" t="s">
        <v>427</v>
      </c>
      <c r="I47" s="5"/>
      <c r="J47" s="5"/>
      <c r="K47" s="4">
        <v>43865</v>
      </c>
      <c r="L47" s="49" t="s">
        <v>428</v>
      </c>
      <c r="M47" s="33">
        <f>2580491+2174824.8+1830962.75+2296707.53+2308093.2+3226458.65+1943724.85</f>
        <v>16361262.780000001</v>
      </c>
      <c r="N47" s="32">
        <v>7</v>
      </c>
      <c r="O47" s="49" t="s">
        <v>429</v>
      </c>
      <c r="P47" s="89">
        <v>1874207.75</v>
      </c>
      <c r="Q47" s="4">
        <v>43885</v>
      </c>
      <c r="R47" s="90" t="s">
        <v>430</v>
      </c>
      <c r="S47" s="90"/>
      <c r="T47" s="90"/>
      <c r="U47" s="90"/>
      <c r="V47" s="33" t="s">
        <v>72</v>
      </c>
      <c r="W47" s="33" t="s">
        <v>24</v>
      </c>
      <c r="X47" s="53" t="s">
        <v>431</v>
      </c>
    </row>
    <row r="48" spans="1:24" ht="22.5" x14ac:dyDescent="0.2">
      <c r="A48" s="2" t="s">
        <v>432</v>
      </c>
      <c r="B48" s="81" t="s">
        <v>433</v>
      </c>
      <c r="C48" s="5" t="s">
        <v>73</v>
      </c>
      <c r="D48" s="44" t="s">
        <v>73</v>
      </c>
      <c r="E48" s="5" t="s">
        <v>86</v>
      </c>
      <c r="F48" s="5" t="s">
        <v>86</v>
      </c>
      <c r="G48" s="3"/>
      <c r="H48" s="3"/>
      <c r="I48" s="3"/>
      <c r="J48" s="3"/>
      <c r="K48" s="4" t="s">
        <v>86</v>
      </c>
      <c r="L48" s="5" t="s">
        <v>86</v>
      </c>
      <c r="M48" s="33">
        <v>49590</v>
      </c>
      <c r="N48" s="32">
        <v>1</v>
      </c>
      <c r="O48" s="49" t="s">
        <v>434</v>
      </c>
      <c r="P48" s="89">
        <v>49590</v>
      </c>
      <c r="Q48" s="4">
        <v>43857</v>
      </c>
      <c r="R48" s="91" t="s">
        <v>435</v>
      </c>
      <c r="S48" s="91"/>
      <c r="T48" s="91"/>
      <c r="U48" s="91"/>
      <c r="V48" s="33" t="s">
        <v>87</v>
      </c>
      <c r="W48" s="33" t="s">
        <v>24</v>
      </c>
      <c r="X48" s="53" t="s">
        <v>436</v>
      </c>
    </row>
    <row r="49" spans="1:24" ht="22.5" x14ac:dyDescent="0.2">
      <c r="A49" s="2" t="s">
        <v>437</v>
      </c>
      <c r="B49" s="81" t="s">
        <v>438</v>
      </c>
      <c r="C49" s="3" t="s">
        <v>73</v>
      </c>
      <c r="D49" s="2" t="s">
        <v>73</v>
      </c>
      <c r="E49" s="3" t="s">
        <v>86</v>
      </c>
      <c r="F49" s="5" t="s">
        <v>86</v>
      </c>
      <c r="G49" s="3"/>
      <c r="H49" s="3"/>
      <c r="I49" s="3"/>
      <c r="J49" s="3"/>
      <c r="K49" s="5" t="s">
        <v>86</v>
      </c>
      <c r="L49" s="5" t="s">
        <v>86</v>
      </c>
      <c r="M49" s="31">
        <v>203629.21</v>
      </c>
      <c r="N49" s="32">
        <v>1</v>
      </c>
      <c r="O49" s="49" t="s">
        <v>439</v>
      </c>
      <c r="P49" s="89">
        <v>203629.21</v>
      </c>
      <c r="Q49" s="4">
        <v>43857</v>
      </c>
      <c r="R49" s="90" t="s">
        <v>440</v>
      </c>
      <c r="S49" s="90"/>
      <c r="T49" s="90"/>
      <c r="U49" s="90"/>
      <c r="V49" s="33" t="s">
        <v>87</v>
      </c>
      <c r="W49" s="33" t="s">
        <v>22</v>
      </c>
      <c r="X49" s="53" t="s">
        <v>88</v>
      </c>
    </row>
    <row r="50" spans="1:24" ht="22.5" x14ac:dyDescent="0.2">
      <c r="A50" s="2" t="s">
        <v>441</v>
      </c>
      <c r="B50" s="81" t="s">
        <v>442</v>
      </c>
      <c r="C50" s="5" t="s">
        <v>73</v>
      </c>
      <c r="D50" s="44" t="s">
        <v>73</v>
      </c>
      <c r="E50" s="3" t="s">
        <v>86</v>
      </c>
      <c r="F50" s="5" t="s">
        <v>86</v>
      </c>
      <c r="G50" s="4"/>
      <c r="H50" s="4"/>
      <c r="I50" s="4"/>
      <c r="J50" s="4"/>
      <c r="K50" s="4" t="s">
        <v>86</v>
      </c>
      <c r="L50" s="5" t="s">
        <v>86</v>
      </c>
      <c r="M50" s="31">
        <v>104209</v>
      </c>
      <c r="N50" s="32">
        <v>1</v>
      </c>
      <c r="O50" s="49" t="s">
        <v>443</v>
      </c>
      <c r="P50" s="89">
        <v>104209</v>
      </c>
      <c r="Q50" s="4">
        <v>43871</v>
      </c>
      <c r="R50" s="90" t="s">
        <v>444</v>
      </c>
      <c r="S50" s="90"/>
      <c r="T50" s="90"/>
      <c r="U50" s="90"/>
      <c r="V50" s="33" t="s">
        <v>87</v>
      </c>
      <c r="W50" s="33" t="s">
        <v>22</v>
      </c>
      <c r="X50" s="53" t="s">
        <v>445</v>
      </c>
    </row>
    <row r="51" spans="1:24" ht="22.5" x14ac:dyDescent="0.2">
      <c r="A51" s="2" t="s">
        <v>446</v>
      </c>
      <c r="B51" s="81" t="s">
        <v>447</v>
      </c>
      <c r="C51" s="3" t="s">
        <v>73</v>
      </c>
      <c r="D51" s="2" t="s">
        <v>73</v>
      </c>
      <c r="E51" s="3" t="s">
        <v>86</v>
      </c>
      <c r="F51" s="5" t="s">
        <v>86</v>
      </c>
      <c r="G51" s="47"/>
      <c r="H51" s="4"/>
      <c r="I51" s="4"/>
      <c r="J51" s="4"/>
      <c r="K51" s="5" t="s">
        <v>86</v>
      </c>
      <c r="L51" s="5" t="s">
        <v>86</v>
      </c>
      <c r="M51" s="31">
        <v>503311</v>
      </c>
      <c r="N51" s="32">
        <v>1</v>
      </c>
      <c r="O51" s="49" t="s">
        <v>448</v>
      </c>
      <c r="P51" s="89">
        <v>503311</v>
      </c>
      <c r="Q51" s="4">
        <v>43857</v>
      </c>
      <c r="R51" s="90" t="s">
        <v>449</v>
      </c>
      <c r="S51" s="90"/>
      <c r="T51" s="90"/>
      <c r="U51" s="90"/>
      <c r="V51" s="33" t="s">
        <v>87</v>
      </c>
      <c r="W51" s="33" t="s">
        <v>22</v>
      </c>
      <c r="X51" s="53" t="s">
        <v>88</v>
      </c>
    </row>
    <row r="52" spans="1:24" ht="22.5" x14ac:dyDescent="0.2">
      <c r="A52" s="2" t="s">
        <v>450</v>
      </c>
      <c r="B52" s="81" t="s">
        <v>451</v>
      </c>
      <c r="C52" s="3" t="s">
        <v>73</v>
      </c>
      <c r="D52" s="2" t="s">
        <v>73</v>
      </c>
      <c r="E52" s="3" t="s">
        <v>86</v>
      </c>
      <c r="F52" s="5" t="s">
        <v>86</v>
      </c>
      <c r="G52" s="47"/>
      <c r="H52" s="4"/>
      <c r="I52" s="4"/>
      <c r="J52" s="4"/>
      <c r="K52" s="5" t="s">
        <v>86</v>
      </c>
      <c r="L52" s="5" t="s">
        <v>86</v>
      </c>
      <c r="M52" s="31">
        <v>219049</v>
      </c>
      <c r="N52" s="32">
        <v>1</v>
      </c>
      <c r="O52" s="49" t="s">
        <v>452</v>
      </c>
      <c r="P52" s="89">
        <v>219049</v>
      </c>
      <c r="Q52" s="4">
        <v>43857</v>
      </c>
      <c r="R52" s="90" t="s">
        <v>453</v>
      </c>
      <c r="S52" s="90"/>
      <c r="T52" s="90"/>
      <c r="U52" s="90"/>
      <c r="V52" s="33" t="s">
        <v>87</v>
      </c>
      <c r="W52" s="33" t="s">
        <v>22</v>
      </c>
      <c r="X52" s="53" t="s">
        <v>454</v>
      </c>
    </row>
    <row r="53" spans="1:24" ht="22.5" x14ac:dyDescent="0.2">
      <c r="A53" s="2" t="s">
        <v>455</v>
      </c>
      <c r="B53" s="81" t="s">
        <v>456</v>
      </c>
      <c r="C53" s="4">
        <v>43966</v>
      </c>
      <c r="D53" s="47" t="s">
        <v>457</v>
      </c>
      <c r="E53" s="3" t="s">
        <v>458</v>
      </c>
      <c r="F53" s="47" t="s">
        <v>459</v>
      </c>
      <c r="G53" s="3"/>
      <c r="H53" s="3"/>
      <c r="I53" s="3"/>
      <c r="J53" s="3"/>
      <c r="K53" s="5">
        <v>43991</v>
      </c>
      <c r="L53" s="50" t="s">
        <v>460</v>
      </c>
      <c r="M53" s="31">
        <v>145684.17000000001</v>
      </c>
      <c r="N53" s="32">
        <v>1</v>
      </c>
      <c r="O53" s="47" t="s">
        <v>461</v>
      </c>
      <c r="P53" s="89">
        <v>144684.17000000001</v>
      </c>
      <c r="Q53" s="4">
        <v>44004</v>
      </c>
      <c r="R53" s="90" t="s">
        <v>462</v>
      </c>
      <c r="S53" s="90"/>
      <c r="T53" s="90"/>
      <c r="U53" s="90"/>
      <c r="V53" s="33" t="s">
        <v>72</v>
      </c>
      <c r="W53" s="33" t="s">
        <v>24</v>
      </c>
      <c r="X53" s="53"/>
    </row>
    <row r="54" spans="1:24" x14ac:dyDescent="0.2">
      <c r="A54" s="2" t="s">
        <v>463</v>
      </c>
      <c r="B54" s="81" t="s">
        <v>464</v>
      </c>
      <c r="C54" s="4">
        <v>43902</v>
      </c>
      <c r="D54" s="49" t="s">
        <v>465</v>
      </c>
      <c r="E54" s="3" t="s">
        <v>466</v>
      </c>
      <c r="F54" s="49" t="s">
        <v>467</v>
      </c>
      <c r="G54" s="50" t="s">
        <v>468</v>
      </c>
      <c r="H54" s="50" t="s">
        <v>469</v>
      </c>
      <c r="I54" s="50" t="s">
        <v>470</v>
      </c>
      <c r="J54" s="4"/>
      <c r="K54" s="4">
        <v>43949</v>
      </c>
      <c r="L54" s="50" t="s">
        <v>471</v>
      </c>
      <c r="M54" s="31">
        <f>531127.5+537023+539397.5+604237+608418+621871.25+735842+858371+890040.65</f>
        <v>5926327.9000000004</v>
      </c>
      <c r="N54" s="32">
        <v>9</v>
      </c>
      <c r="O54" s="47" t="s">
        <v>472</v>
      </c>
      <c r="P54" s="89">
        <v>531127.5</v>
      </c>
      <c r="Q54" s="4">
        <v>43969</v>
      </c>
      <c r="R54" s="90" t="s">
        <v>473</v>
      </c>
      <c r="S54" s="90"/>
      <c r="T54" s="90"/>
      <c r="U54" s="90"/>
      <c r="V54" s="33" t="s">
        <v>72</v>
      </c>
      <c r="W54" s="33" t="s">
        <v>24</v>
      </c>
      <c r="X54" s="53"/>
    </row>
    <row r="55" spans="1:24" ht="22.5" x14ac:dyDescent="0.2">
      <c r="A55" s="2" t="s">
        <v>474</v>
      </c>
      <c r="B55" s="81" t="s">
        <v>475</v>
      </c>
      <c r="C55" s="4" t="s">
        <v>73</v>
      </c>
      <c r="D55" s="2" t="s">
        <v>73</v>
      </c>
      <c r="E55" s="3" t="s">
        <v>86</v>
      </c>
      <c r="F55" s="4" t="s">
        <v>86</v>
      </c>
      <c r="G55" s="4"/>
      <c r="H55" s="4"/>
      <c r="I55" s="4"/>
      <c r="J55" s="4"/>
      <c r="K55" s="4" t="s">
        <v>86</v>
      </c>
      <c r="L55" s="5" t="s">
        <v>86</v>
      </c>
      <c r="M55" s="31">
        <v>264991</v>
      </c>
      <c r="N55" s="32">
        <v>1</v>
      </c>
      <c r="O55" s="49" t="s">
        <v>476</v>
      </c>
      <c r="P55" s="89">
        <v>264991</v>
      </c>
      <c r="Q55" s="4">
        <v>43871</v>
      </c>
      <c r="R55" s="90" t="s">
        <v>477</v>
      </c>
      <c r="S55" s="90"/>
      <c r="T55" s="90"/>
      <c r="U55" s="90"/>
      <c r="V55" s="33" t="s">
        <v>87</v>
      </c>
      <c r="W55" s="33" t="s">
        <v>24</v>
      </c>
      <c r="X55" s="78" t="s">
        <v>436</v>
      </c>
    </row>
    <row r="56" spans="1:24" x14ac:dyDescent="0.2">
      <c r="A56" s="2" t="s">
        <v>478</v>
      </c>
      <c r="B56" s="81" t="s">
        <v>479</v>
      </c>
      <c r="C56" s="4">
        <v>43886</v>
      </c>
      <c r="D56" s="49" t="s">
        <v>480</v>
      </c>
      <c r="E56" s="3" t="s">
        <v>481</v>
      </c>
      <c r="F56" s="49" t="s">
        <v>482</v>
      </c>
      <c r="G56" s="49" t="s">
        <v>483</v>
      </c>
      <c r="H56" s="49" t="s">
        <v>484</v>
      </c>
      <c r="I56" s="4"/>
      <c r="J56" s="4"/>
      <c r="K56" s="4">
        <v>43916</v>
      </c>
      <c r="L56" s="49" t="s">
        <v>485</v>
      </c>
      <c r="M56" s="31">
        <f>655720+672486.96+699622.46+730873.68+752353.97+824051+5544024.67+881790</f>
        <v>10760922.74</v>
      </c>
      <c r="N56" s="32">
        <v>8</v>
      </c>
      <c r="O56" s="49" t="s">
        <v>486</v>
      </c>
      <c r="P56" s="89">
        <v>655720</v>
      </c>
      <c r="Q56" s="4">
        <v>43955</v>
      </c>
      <c r="R56" s="90" t="s">
        <v>487</v>
      </c>
      <c r="S56" s="90"/>
      <c r="T56" s="90"/>
      <c r="U56" s="90"/>
      <c r="V56" s="33" t="s">
        <v>72</v>
      </c>
      <c r="W56" s="33" t="s">
        <v>24</v>
      </c>
      <c r="X56" s="53"/>
    </row>
    <row r="57" spans="1:24" x14ac:dyDescent="0.2">
      <c r="A57" s="2" t="s">
        <v>488</v>
      </c>
      <c r="B57" s="138" t="s">
        <v>489</v>
      </c>
      <c r="C57" s="4">
        <v>43906</v>
      </c>
      <c r="D57" s="49" t="s">
        <v>490</v>
      </c>
      <c r="E57" s="3" t="s">
        <v>491</v>
      </c>
      <c r="F57" s="49" t="s">
        <v>492</v>
      </c>
      <c r="G57" s="50" t="s">
        <v>493</v>
      </c>
      <c r="H57" s="50" t="s">
        <v>494</v>
      </c>
      <c r="I57" s="50" t="s">
        <v>495</v>
      </c>
      <c r="J57" s="4"/>
      <c r="K57" s="4">
        <v>43938</v>
      </c>
      <c r="L57" s="50" t="s">
        <v>496</v>
      </c>
      <c r="M57" s="31">
        <f>613894.81+618904.5+644603.56+645838+651219.7+660145+666558.15+678855+682279.5+685204.42+686155+697273+870202+885130+903095+915561</f>
        <v>11504918.640000001</v>
      </c>
      <c r="N57" s="32">
        <v>16</v>
      </c>
      <c r="O57" s="47" t="s">
        <v>497</v>
      </c>
      <c r="P57" s="89">
        <v>613896.31000000006</v>
      </c>
      <c r="Q57" s="4">
        <v>44004</v>
      </c>
      <c r="R57" s="90" t="s">
        <v>498</v>
      </c>
      <c r="S57" s="90"/>
      <c r="T57" s="90"/>
      <c r="U57" s="90"/>
      <c r="V57" s="33" t="s">
        <v>72</v>
      </c>
      <c r="W57" s="33" t="s">
        <v>24</v>
      </c>
      <c r="X57" s="53"/>
    </row>
    <row r="58" spans="1:24" x14ac:dyDescent="0.2">
      <c r="A58" s="2" t="s">
        <v>499</v>
      </c>
      <c r="B58" s="81" t="s">
        <v>500</v>
      </c>
      <c r="C58" s="4" t="s">
        <v>73</v>
      </c>
      <c r="D58" s="2" t="s">
        <v>73</v>
      </c>
      <c r="E58" s="3" t="s">
        <v>86</v>
      </c>
      <c r="F58" s="3" t="s">
        <v>86</v>
      </c>
      <c r="G58" s="4"/>
      <c r="H58" s="4"/>
      <c r="I58" s="4"/>
      <c r="J58" s="4"/>
      <c r="K58" s="4" t="s">
        <v>86</v>
      </c>
      <c r="L58" s="3" t="s">
        <v>86</v>
      </c>
      <c r="M58" s="31">
        <v>170925.24</v>
      </c>
      <c r="N58" s="32">
        <v>1</v>
      </c>
      <c r="O58" s="49" t="s">
        <v>501</v>
      </c>
      <c r="P58" s="89">
        <v>170925.24</v>
      </c>
      <c r="Q58" s="4">
        <v>43913</v>
      </c>
      <c r="R58" s="90" t="s">
        <v>502</v>
      </c>
      <c r="S58" s="90"/>
      <c r="T58" s="90"/>
      <c r="U58" s="90"/>
      <c r="V58" s="33" t="s">
        <v>87</v>
      </c>
      <c r="W58" s="33" t="s">
        <v>24</v>
      </c>
      <c r="X58" s="52" t="s">
        <v>503</v>
      </c>
    </row>
    <row r="59" spans="1:24" ht="22.5" x14ac:dyDescent="0.2">
      <c r="A59" s="2" t="s">
        <v>504</v>
      </c>
      <c r="B59" s="138" t="s">
        <v>505</v>
      </c>
      <c r="C59" s="96" t="s">
        <v>73</v>
      </c>
      <c r="D59" s="2" t="s">
        <v>73</v>
      </c>
      <c r="E59" s="3" t="s">
        <v>86</v>
      </c>
      <c r="F59" s="3" t="s">
        <v>86</v>
      </c>
      <c r="G59" s="50"/>
      <c r="H59" s="3"/>
      <c r="I59" s="3"/>
      <c r="J59" s="3"/>
      <c r="K59" s="3" t="s">
        <v>86</v>
      </c>
      <c r="L59" s="3" t="s">
        <v>86</v>
      </c>
      <c r="M59" s="31">
        <v>244175</v>
      </c>
      <c r="N59" s="32">
        <v>1</v>
      </c>
      <c r="O59" s="49" t="s">
        <v>506</v>
      </c>
      <c r="P59" s="89">
        <v>244175</v>
      </c>
      <c r="Q59" s="4">
        <v>43885</v>
      </c>
      <c r="R59" s="90" t="s">
        <v>507</v>
      </c>
      <c r="S59" s="90"/>
      <c r="T59" s="90"/>
      <c r="U59" s="90"/>
      <c r="V59" s="33" t="s">
        <v>87</v>
      </c>
      <c r="W59" s="33" t="s">
        <v>24</v>
      </c>
      <c r="X59" s="53" t="s">
        <v>436</v>
      </c>
    </row>
    <row r="60" spans="1:24" ht="22.5" x14ac:dyDescent="0.2">
      <c r="A60" s="2" t="s">
        <v>508</v>
      </c>
      <c r="B60" s="81" t="s">
        <v>509</v>
      </c>
      <c r="C60" s="96" t="s">
        <v>73</v>
      </c>
      <c r="D60" s="2" t="s">
        <v>73</v>
      </c>
      <c r="E60" s="3" t="s">
        <v>86</v>
      </c>
      <c r="F60" s="3" t="s">
        <v>86</v>
      </c>
      <c r="G60" s="4"/>
      <c r="H60" s="4"/>
      <c r="I60" s="4"/>
      <c r="J60" s="4"/>
      <c r="K60" s="3" t="s">
        <v>86</v>
      </c>
      <c r="L60" s="3" t="s">
        <v>86</v>
      </c>
      <c r="M60" s="31">
        <v>60191.83</v>
      </c>
      <c r="N60" s="32">
        <v>1</v>
      </c>
      <c r="O60" s="49" t="s">
        <v>510</v>
      </c>
      <c r="P60" s="89">
        <v>60191.83</v>
      </c>
      <c r="Q60" s="4">
        <v>43885</v>
      </c>
      <c r="R60" s="90" t="s">
        <v>511</v>
      </c>
      <c r="S60" s="90"/>
      <c r="T60" s="90"/>
      <c r="U60" s="90"/>
      <c r="V60" s="33" t="s">
        <v>87</v>
      </c>
      <c r="W60" s="33" t="s">
        <v>22</v>
      </c>
      <c r="X60" s="53" t="s">
        <v>102</v>
      </c>
    </row>
    <row r="61" spans="1:24" ht="22.5" x14ac:dyDescent="0.2">
      <c r="A61" s="2" t="s">
        <v>512</v>
      </c>
      <c r="B61" s="138" t="s">
        <v>513</v>
      </c>
      <c r="C61" s="96" t="s">
        <v>73</v>
      </c>
      <c r="D61" s="2" t="s">
        <v>73</v>
      </c>
      <c r="E61" s="3" t="s">
        <v>86</v>
      </c>
      <c r="F61" s="3" t="s">
        <v>86</v>
      </c>
      <c r="G61" s="4"/>
      <c r="H61" s="4"/>
      <c r="I61" s="4"/>
      <c r="J61" s="4"/>
      <c r="K61" s="3" t="s">
        <v>86</v>
      </c>
      <c r="L61" s="3" t="s">
        <v>86</v>
      </c>
      <c r="M61" s="31">
        <v>133356</v>
      </c>
      <c r="N61" s="32">
        <v>1</v>
      </c>
      <c r="O61" s="49" t="s">
        <v>514</v>
      </c>
      <c r="P61" s="89">
        <v>133356</v>
      </c>
      <c r="Q61" s="4">
        <v>43885</v>
      </c>
      <c r="R61" s="90" t="s">
        <v>515</v>
      </c>
      <c r="S61" s="90"/>
      <c r="T61" s="90"/>
      <c r="U61" s="90"/>
      <c r="V61" s="33" t="s">
        <v>87</v>
      </c>
      <c r="W61" s="33" t="s">
        <v>22</v>
      </c>
      <c r="X61" s="53" t="s">
        <v>516</v>
      </c>
    </row>
    <row r="62" spans="1:24" x14ac:dyDescent="0.2">
      <c r="A62" s="2" t="s">
        <v>517</v>
      </c>
      <c r="B62" s="138" t="s">
        <v>518</v>
      </c>
      <c r="C62" s="4" t="s">
        <v>73</v>
      </c>
      <c r="D62" s="2" t="s">
        <v>73</v>
      </c>
      <c r="E62" s="3" t="s">
        <v>86</v>
      </c>
      <c r="F62" s="4" t="s">
        <v>86</v>
      </c>
      <c r="G62" s="47"/>
      <c r="H62" s="47"/>
      <c r="I62" s="4"/>
      <c r="J62" s="4"/>
      <c r="K62" s="4" t="s">
        <v>86</v>
      </c>
      <c r="L62" s="5" t="s">
        <v>86</v>
      </c>
      <c r="M62" s="31">
        <v>150000</v>
      </c>
      <c r="N62" s="32">
        <v>1</v>
      </c>
      <c r="O62" s="49" t="s">
        <v>519</v>
      </c>
      <c r="P62" s="89">
        <v>150000</v>
      </c>
      <c r="Q62" s="4">
        <v>43913</v>
      </c>
      <c r="R62" s="90" t="s">
        <v>520</v>
      </c>
      <c r="S62" s="90"/>
      <c r="T62" s="90"/>
      <c r="U62" s="90"/>
      <c r="V62" s="33" t="s">
        <v>87</v>
      </c>
      <c r="W62" s="33" t="s">
        <v>22</v>
      </c>
      <c r="X62" s="53" t="s">
        <v>521</v>
      </c>
    </row>
    <row r="63" spans="1:24" ht="22.5" x14ac:dyDescent="0.2">
      <c r="A63" s="2" t="s">
        <v>522</v>
      </c>
      <c r="B63" s="138" t="s">
        <v>523</v>
      </c>
      <c r="C63" s="96" t="s">
        <v>73</v>
      </c>
      <c r="D63" s="2" t="s">
        <v>73</v>
      </c>
      <c r="E63" s="3" t="s">
        <v>86</v>
      </c>
      <c r="F63" s="4" t="s">
        <v>86</v>
      </c>
      <c r="G63" s="47"/>
      <c r="H63" s="47"/>
      <c r="I63" s="4"/>
      <c r="J63" s="4"/>
      <c r="K63" s="4" t="s">
        <v>86</v>
      </c>
      <c r="L63" s="5" t="s">
        <v>86</v>
      </c>
      <c r="M63" s="31">
        <v>100000</v>
      </c>
      <c r="N63" s="32">
        <v>1</v>
      </c>
      <c r="O63" s="49" t="s">
        <v>524</v>
      </c>
      <c r="P63" s="89">
        <v>100000</v>
      </c>
      <c r="Q63" s="94">
        <v>43913</v>
      </c>
      <c r="R63" s="90" t="s">
        <v>525</v>
      </c>
      <c r="S63" s="90"/>
      <c r="T63" s="90"/>
      <c r="U63" s="90"/>
      <c r="V63" s="33" t="s">
        <v>87</v>
      </c>
      <c r="W63" s="33" t="s">
        <v>22</v>
      </c>
      <c r="X63" s="53" t="s">
        <v>521</v>
      </c>
    </row>
    <row r="64" spans="1:24" x14ac:dyDescent="0.2">
      <c r="A64" s="2" t="s">
        <v>526</v>
      </c>
      <c r="B64" s="81" t="s">
        <v>527</v>
      </c>
      <c r="C64" s="96" t="s">
        <v>73</v>
      </c>
      <c r="D64" s="2" t="s">
        <v>73</v>
      </c>
      <c r="E64" s="3" t="s">
        <v>86</v>
      </c>
      <c r="F64" s="4" t="s">
        <v>86</v>
      </c>
      <c r="G64" s="47"/>
      <c r="H64" s="47"/>
      <c r="I64" s="4"/>
      <c r="J64" s="4"/>
      <c r="K64" s="4" t="s">
        <v>86</v>
      </c>
      <c r="L64" s="5" t="s">
        <v>86</v>
      </c>
      <c r="M64" s="31">
        <v>50000</v>
      </c>
      <c r="N64" s="32">
        <v>1</v>
      </c>
      <c r="O64" s="49" t="s">
        <v>528</v>
      </c>
      <c r="P64" s="89">
        <v>50000</v>
      </c>
      <c r="Q64" s="4">
        <v>43913</v>
      </c>
      <c r="R64" s="90" t="s">
        <v>529</v>
      </c>
      <c r="S64" s="90"/>
      <c r="T64" s="90"/>
      <c r="U64" s="90"/>
      <c r="V64" s="33" t="s">
        <v>87</v>
      </c>
      <c r="W64" s="33" t="s">
        <v>22</v>
      </c>
      <c r="X64" s="53" t="s">
        <v>530</v>
      </c>
    </row>
    <row r="65" spans="1:24" ht="22.5" x14ac:dyDescent="0.2">
      <c r="A65" s="2" t="s">
        <v>531</v>
      </c>
      <c r="B65" s="81" t="s">
        <v>532</v>
      </c>
      <c r="C65" s="4">
        <v>43894</v>
      </c>
      <c r="D65" s="49" t="s">
        <v>533</v>
      </c>
      <c r="E65" s="3" t="s">
        <v>534</v>
      </c>
      <c r="F65" s="49" t="s">
        <v>535</v>
      </c>
      <c r="G65" s="50" t="s">
        <v>536</v>
      </c>
      <c r="H65" s="50" t="s">
        <v>537</v>
      </c>
      <c r="I65" s="3"/>
      <c r="J65" s="3"/>
      <c r="K65" s="4">
        <v>43921</v>
      </c>
      <c r="L65" s="49" t="s">
        <v>538</v>
      </c>
      <c r="M65" s="31">
        <f>385531.7+372087.5+324536.85+310472.01+329185+294421.8+367807.18</f>
        <v>2384042.04</v>
      </c>
      <c r="N65" s="32">
        <v>7</v>
      </c>
      <c r="O65" s="47" t="s">
        <v>539</v>
      </c>
      <c r="P65" s="89">
        <v>294421.8</v>
      </c>
      <c r="Q65" s="4">
        <v>44004</v>
      </c>
      <c r="R65" s="90" t="s">
        <v>540</v>
      </c>
      <c r="S65" s="90"/>
      <c r="T65" s="90"/>
      <c r="U65" s="90"/>
      <c r="V65" s="33" t="s">
        <v>72</v>
      </c>
      <c r="W65" s="33" t="s">
        <v>24</v>
      </c>
      <c r="X65" s="53"/>
    </row>
    <row r="66" spans="1:24" ht="22.5" x14ac:dyDescent="0.2">
      <c r="A66" s="2" t="s">
        <v>541</v>
      </c>
      <c r="B66" s="138" t="s">
        <v>542</v>
      </c>
      <c r="C66" s="3" t="s">
        <v>73</v>
      </c>
      <c r="D66" s="2" t="s">
        <v>73</v>
      </c>
      <c r="E66" s="3" t="s">
        <v>543</v>
      </c>
      <c r="F66" s="49" t="s">
        <v>544</v>
      </c>
      <c r="G66" s="49" t="s">
        <v>545</v>
      </c>
      <c r="H66" s="50" t="s">
        <v>546</v>
      </c>
      <c r="I66" s="50" t="s">
        <v>547</v>
      </c>
      <c r="J66" s="50" t="s">
        <v>548</v>
      </c>
      <c r="K66" s="4">
        <v>43944</v>
      </c>
      <c r="L66" s="49" t="s">
        <v>549</v>
      </c>
      <c r="M66" s="31">
        <f>1281960.77+1388701+1135157.67+524108.2+1276805+1220417.36+1240183+1347092.63</f>
        <v>9414425.629999999</v>
      </c>
      <c r="N66" s="32">
        <v>8</v>
      </c>
      <c r="O66" s="47" t="s">
        <v>550</v>
      </c>
      <c r="P66" s="89">
        <f>665000+470000</f>
        <v>1135000</v>
      </c>
      <c r="Q66" s="4">
        <v>43969</v>
      </c>
      <c r="R66" s="90" t="s">
        <v>551</v>
      </c>
      <c r="S66" s="90" t="s">
        <v>552</v>
      </c>
      <c r="T66" s="90"/>
      <c r="U66" s="90"/>
      <c r="V66" s="33" t="s">
        <v>72</v>
      </c>
      <c r="W66" s="33" t="s">
        <v>23</v>
      </c>
      <c r="X66" s="53"/>
    </row>
    <row r="67" spans="1:24" x14ac:dyDescent="0.2">
      <c r="A67" s="2" t="s">
        <v>553</v>
      </c>
      <c r="B67" s="81" t="s">
        <v>554</v>
      </c>
      <c r="C67" s="4" t="s">
        <v>73</v>
      </c>
      <c r="D67" s="2" t="s">
        <v>73</v>
      </c>
      <c r="E67" s="3" t="s">
        <v>86</v>
      </c>
      <c r="F67" s="3" t="s">
        <v>86</v>
      </c>
      <c r="G67" s="49"/>
      <c r="H67" s="50"/>
      <c r="I67" s="5"/>
      <c r="J67" s="5"/>
      <c r="K67" s="4" t="s">
        <v>86</v>
      </c>
      <c r="L67" s="5" t="s">
        <v>86</v>
      </c>
      <c r="M67" s="31">
        <v>384480</v>
      </c>
      <c r="N67" s="32">
        <v>1</v>
      </c>
      <c r="O67" s="49" t="s">
        <v>555</v>
      </c>
      <c r="P67" s="89">
        <v>384480</v>
      </c>
      <c r="Q67" s="4">
        <v>43913</v>
      </c>
      <c r="R67" s="90" t="s">
        <v>556</v>
      </c>
      <c r="S67" s="90"/>
      <c r="T67" s="90"/>
      <c r="U67" s="90"/>
      <c r="V67" s="33" t="s">
        <v>87</v>
      </c>
      <c r="W67" s="33" t="s">
        <v>22</v>
      </c>
      <c r="X67" s="53" t="s">
        <v>557</v>
      </c>
    </row>
    <row r="68" spans="1:24" ht="22.5" x14ac:dyDescent="0.2">
      <c r="A68" s="2" t="s">
        <v>558</v>
      </c>
      <c r="B68" s="81" t="s">
        <v>559</v>
      </c>
      <c r="C68" s="4" t="s">
        <v>73</v>
      </c>
      <c r="D68" s="44" t="s">
        <v>73</v>
      </c>
      <c r="E68" s="3" t="s">
        <v>86</v>
      </c>
      <c r="F68" s="3" t="s">
        <v>86</v>
      </c>
      <c r="G68" s="49"/>
      <c r="H68" s="50"/>
      <c r="I68" s="5"/>
      <c r="J68" s="5"/>
      <c r="K68" s="4" t="s">
        <v>86</v>
      </c>
      <c r="L68" s="5" t="s">
        <v>86</v>
      </c>
      <c r="M68" s="31">
        <v>12288837</v>
      </c>
      <c r="N68" s="32">
        <v>1</v>
      </c>
      <c r="O68" s="49" t="s">
        <v>560</v>
      </c>
      <c r="P68" s="89">
        <v>12288837</v>
      </c>
      <c r="Q68" s="4">
        <v>43913</v>
      </c>
      <c r="R68" s="90" t="s">
        <v>378</v>
      </c>
      <c r="S68" s="90"/>
      <c r="T68" s="90"/>
      <c r="U68" s="90"/>
      <c r="V68" s="33" t="s">
        <v>87</v>
      </c>
      <c r="W68" s="33" t="s">
        <v>22</v>
      </c>
      <c r="X68" s="53" t="s">
        <v>379</v>
      </c>
    </row>
    <row r="69" spans="1:24" ht="22.5" x14ac:dyDescent="0.2">
      <c r="A69" s="2" t="s">
        <v>561</v>
      </c>
      <c r="B69" s="81" t="s">
        <v>562</v>
      </c>
      <c r="C69" s="4" t="s">
        <v>73</v>
      </c>
      <c r="D69" s="44" t="s">
        <v>73</v>
      </c>
      <c r="E69" s="3" t="s">
        <v>86</v>
      </c>
      <c r="F69" s="3" t="s">
        <v>86</v>
      </c>
      <c r="G69" s="5"/>
      <c r="H69" s="50"/>
      <c r="I69" s="5"/>
      <c r="J69" s="5"/>
      <c r="K69" s="4" t="s">
        <v>86</v>
      </c>
      <c r="L69" s="5" t="s">
        <v>86</v>
      </c>
      <c r="M69" s="31">
        <v>120000</v>
      </c>
      <c r="N69" s="32">
        <v>1</v>
      </c>
      <c r="O69" s="50" t="s">
        <v>563</v>
      </c>
      <c r="P69" s="89">
        <v>120000</v>
      </c>
      <c r="Q69" s="4">
        <v>43941</v>
      </c>
      <c r="R69" s="90" t="s">
        <v>564</v>
      </c>
      <c r="S69" s="90"/>
      <c r="T69" s="90"/>
      <c r="U69" s="90"/>
      <c r="V69" s="33" t="s">
        <v>87</v>
      </c>
      <c r="W69" s="33" t="s">
        <v>22</v>
      </c>
      <c r="X69" s="52" t="s">
        <v>565</v>
      </c>
    </row>
    <row r="70" spans="1:24" x14ac:dyDescent="0.2">
      <c r="A70" s="2" t="s">
        <v>566</v>
      </c>
      <c r="B70" s="81" t="s">
        <v>567</v>
      </c>
      <c r="C70" s="4">
        <v>43942</v>
      </c>
      <c r="D70" s="50" t="s">
        <v>568</v>
      </c>
      <c r="E70" s="3" t="s">
        <v>569</v>
      </c>
      <c r="F70" s="50" t="s">
        <v>570</v>
      </c>
      <c r="G70" s="5"/>
      <c r="H70" s="4"/>
      <c r="I70" s="4"/>
      <c r="J70" s="4"/>
      <c r="K70" s="4">
        <v>43971</v>
      </c>
      <c r="L70" s="49" t="s">
        <v>571</v>
      </c>
      <c r="M70" s="31">
        <f>128292+136285+142541+148727+154720+159349.5+168268+169787+172539+175397+179928+180343+220916</f>
        <v>2137092.5</v>
      </c>
      <c r="N70" s="32">
        <v>13</v>
      </c>
      <c r="O70" s="50" t="s">
        <v>572</v>
      </c>
      <c r="P70" s="89">
        <v>128292</v>
      </c>
      <c r="Q70" s="4">
        <v>43990</v>
      </c>
      <c r="R70" s="90" t="s">
        <v>573</v>
      </c>
      <c r="S70" s="90"/>
      <c r="T70" s="90"/>
      <c r="U70" s="90"/>
      <c r="V70" s="33" t="s">
        <v>72</v>
      </c>
      <c r="W70" s="33" t="s">
        <v>24</v>
      </c>
      <c r="X70" s="53"/>
    </row>
    <row r="71" spans="1:24" x14ac:dyDescent="0.2">
      <c r="A71" s="2" t="s">
        <v>574</v>
      </c>
      <c r="B71" s="81" t="s">
        <v>575</v>
      </c>
      <c r="C71" s="4" t="s">
        <v>73</v>
      </c>
      <c r="D71" s="2" t="s">
        <v>73</v>
      </c>
      <c r="E71" s="3" t="s">
        <v>86</v>
      </c>
      <c r="F71" s="3" t="s">
        <v>86</v>
      </c>
      <c r="G71" s="5"/>
      <c r="H71" s="50"/>
      <c r="I71" s="5"/>
      <c r="J71" s="5"/>
      <c r="K71" s="4" t="s">
        <v>86</v>
      </c>
      <c r="L71" s="5" t="s">
        <v>86</v>
      </c>
      <c r="M71" s="31">
        <v>70000</v>
      </c>
      <c r="N71" s="32">
        <v>1</v>
      </c>
      <c r="O71" s="50" t="s">
        <v>576</v>
      </c>
      <c r="P71" s="89">
        <v>70000</v>
      </c>
      <c r="Q71" s="4">
        <v>43941</v>
      </c>
      <c r="R71" s="90" t="s">
        <v>408</v>
      </c>
      <c r="S71" s="90"/>
      <c r="T71" s="90"/>
      <c r="U71" s="90"/>
      <c r="V71" s="33" t="s">
        <v>87</v>
      </c>
      <c r="W71" s="33" t="s">
        <v>22</v>
      </c>
      <c r="X71" s="53" t="s">
        <v>577</v>
      </c>
    </row>
    <row r="72" spans="1:24" ht="22.5" x14ac:dyDescent="0.2">
      <c r="A72" s="2" t="s">
        <v>578</v>
      </c>
      <c r="B72" s="81" t="s">
        <v>579</v>
      </c>
      <c r="C72" s="4" t="s">
        <v>73</v>
      </c>
      <c r="D72" s="5" t="s">
        <v>73</v>
      </c>
      <c r="E72" s="3" t="s">
        <v>86</v>
      </c>
      <c r="F72" s="3" t="s">
        <v>86</v>
      </c>
      <c r="G72" s="5"/>
      <c r="H72" s="5"/>
      <c r="I72" s="5"/>
      <c r="J72" s="5"/>
      <c r="K72" s="4" t="s">
        <v>86</v>
      </c>
      <c r="L72" s="5" t="s">
        <v>86</v>
      </c>
      <c r="M72" s="31">
        <v>150000</v>
      </c>
      <c r="N72" s="32">
        <v>1</v>
      </c>
      <c r="O72" s="50" t="s">
        <v>580</v>
      </c>
      <c r="P72" s="89">
        <v>150000</v>
      </c>
      <c r="Q72" s="4">
        <v>43941</v>
      </c>
      <c r="R72" s="90" t="s">
        <v>581</v>
      </c>
      <c r="S72" s="90"/>
      <c r="T72" s="90"/>
      <c r="U72" s="90"/>
      <c r="V72" s="33" t="s">
        <v>87</v>
      </c>
      <c r="W72" s="33" t="s">
        <v>22</v>
      </c>
      <c r="X72" s="53" t="s">
        <v>582</v>
      </c>
    </row>
    <row r="73" spans="1:24" ht="22.5" x14ac:dyDescent="0.2">
      <c r="A73" s="2" t="s">
        <v>583</v>
      </c>
      <c r="B73" s="81" t="s">
        <v>584</v>
      </c>
      <c r="C73" s="4" t="s">
        <v>73</v>
      </c>
      <c r="D73" s="44" t="s">
        <v>73</v>
      </c>
      <c r="E73" s="3" t="s">
        <v>86</v>
      </c>
      <c r="F73" s="3" t="s">
        <v>86</v>
      </c>
      <c r="G73" s="5"/>
      <c r="H73" s="5"/>
      <c r="I73" s="5"/>
      <c r="J73" s="5"/>
      <c r="K73" s="4" t="s">
        <v>86</v>
      </c>
      <c r="L73" s="5" t="s">
        <v>86</v>
      </c>
      <c r="M73" s="31">
        <v>198644</v>
      </c>
      <c r="N73" s="32">
        <v>1</v>
      </c>
      <c r="O73" s="50" t="s">
        <v>585</v>
      </c>
      <c r="P73" s="89">
        <v>198644</v>
      </c>
      <c r="Q73" s="4">
        <v>43941</v>
      </c>
      <c r="R73" s="90" t="s">
        <v>586</v>
      </c>
      <c r="S73" s="90"/>
      <c r="T73" s="90"/>
      <c r="U73" s="90"/>
      <c r="V73" s="33" t="s">
        <v>87</v>
      </c>
      <c r="W73" s="33" t="s">
        <v>24</v>
      </c>
      <c r="X73" s="53" t="s">
        <v>587</v>
      </c>
    </row>
    <row r="74" spans="1:24" x14ac:dyDescent="0.2">
      <c r="A74" s="2" t="s">
        <v>588</v>
      </c>
      <c r="B74" s="81" t="s">
        <v>589</v>
      </c>
      <c r="C74" s="4" t="s">
        <v>73</v>
      </c>
      <c r="D74" s="44" t="s">
        <v>73</v>
      </c>
      <c r="E74" s="3" t="s">
        <v>590</v>
      </c>
      <c r="F74" s="50" t="s">
        <v>591</v>
      </c>
      <c r="G74" s="47" t="s">
        <v>592</v>
      </c>
      <c r="H74" s="5"/>
      <c r="I74" s="5"/>
      <c r="J74" s="5"/>
      <c r="K74" s="4">
        <v>44013</v>
      </c>
      <c r="L74" s="49" t="s">
        <v>593</v>
      </c>
      <c r="M74" s="31">
        <f>349151+138300+217087.5</f>
        <v>704538.5</v>
      </c>
      <c r="N74" s="32">
        <v>3</v>
      </c>
      <c r="O74" s="49" t="s">
        <v>594</v>
      </c>
      <c r="P74" s="89">
        <v>175000</v>
      </c>
      <c r="Q74" s="4">
        <v>44060</v>
      </c>
      <c r="R74" s="90" t="s">
        <v>595</v>
      </c>
      <c r="S74" s="90" t="s">
        <v>596</v>
      </c>
      <c r="T74" s="90" t="s">
        <v>597</v>
      </c>
      <c r="U74" s="90"/>
      <c r="V74" s="33" t="s">
        <v>72</v>
      </c>
      <c r="W74" s="33" t="s">
        <v>22</v>
      </c>
      <c r="X74" s="53"/>
    </row>
    <row r="75" spans="1:24" ht="22.5" x14ac:dyDescent="0.2">
      <c r="A75" s="2" t="s">
        <v>598</v>
      </c>
      <c r="B75" s="81" t="s">
        <v>599</v>
      </c>
      <c r="C75" s="4" t="s">
        <v>73</v>
      </c>
      <c r="D75" s="44" t="s">
        <v>73</v>
      </c>
      <c r="E75" s="3" t="s">
        <v>86</v>
      </c>
      <c r="F75" s="3" t="s">
        <v>86</v>
      </c>
      <c r="G75" s="5"/>
      <c r="H75" s="5"/>
      <c r="I75" s="5"/>
      <c r="J75" s="5"/>
      <c r="K75" s="4" t="s">
        <v>86</v>
      </c>
      <c r="L75" s="5" t="s">
        <v>86</v>
      </c>
      <c r="M75" s="31">
        <f>80000+60000</f>
        <v>140000</v>
      </c>
      <c r="N75" s="32">
        <v>2</v>
      </c>
      <c r="O75" s="47" t="s">
        <v>600</v>
      </c>
      <c r="P75" s="89">
        <f>80000+60000</f>
        <v>140000</v>
      </c>
      <c r="Q75" s="4">
        <v>43969</v>
      </c>
      <c r="R75" s="90" t="s">
        <v>601</v>
      </c>
      <c r="S75" s="90" t="s">
        <v>602</v>
      </c>
      <c r="T75" s="90"/>
      <c r="U75" s="90"/>
      <c r="V75" s="33" t="s">
        <v>87</v>
      </c>
      <c r="W75" s="33" t="s">
        <v>22</v>
      </c>
      <c r="X75" s="53" t="s">
        <v>140</v>
      </c>
    </row>
    <row r="76" spans="1:24" x14ac:dyDescent="0.2">
      <c r="A76" s="2" t="s">
        <v>603</v>
      </c>
      <c r="B76" s="81" t="s">
        <v>604</v>
      </c>
      <c r="C76" s="4" t="s">
        <v>73</v>
      </c>
      <c r="D76" s="44" t="s">
        <v>73</v>
      </c>
      <c r="E76" s="3" t="s">
        <v>86</v>
      </c>
      <c r="F76" s="3" t="s">
        <v>86</v>
      </c>
      <c r="G76" s="47"/>
      <c r="H76" s="4"/>
      <c r="I76" s="4"/>
      <c r="J76" s="4"/>
      <c r="K76" s="4" t="s">
        <v>86</v>
      </c>
      <c r="L76" s="5" t="s">
        <v>86</v>
      </c>
      <c r="M76" s="31">
        <v>80000</v>
      </c>
      <c r="N76" s="32">
        <v>1</v>
      </c>
      <c r="O76" s="50" t="s">
        <v>605</v>
      </c>
      <c r="P76" s="89">
        <v>80000</v>
      </c>
      <c r="Q76" s="4">
        <v>43969</v>
      </c>
      <c r="R76" s="90" t="s">
        <v>606</v>
      </c>
      <c r="S76" s="90"/>
      <c r="T76" s="90"/>
      <c r="U76" s="90"/>
      <c r="V76" s="33" t="s">
        <v>87</v>
      </c>
      <c r="W76" s="33" t="s">
        <v>22</v>
      </c>
      <c r="X76" s="53" t="s">
        <v>607</v>
      </c>
    </row>
    <row r="77" spans="1:24" x14ac:dyDescent="0.2">
      <c r="A77" s="2" t="s">
        <v>608</v>
      </c>
      <c r="B77" s="81" t="s">
        <v>609</v>
      </c>
      <c r="C77" s="4" t="s">
        <v>73</v>
      </c>
      <c r="D77" s="44" t="s">
        <v>73</v>
      </c>
      <c r="E77" s="3" t="s">
        <v>86</v>
      </c>
      <c r="F77" s="3" t="s">
        <v>86</v>
      </c>
      <c r="G77" s="4"/>
      <c r="H77" s="4"/>
      <c r="I77" s="4"/>
      <c r="J77" s="4"/>
      <c r="K77" s="3" t="s">
        <v>86</v>
      </c>
      <c r="L77" s="3" t="s">
        <v>86</v>
      </c>
      <c r="M77" s="31">
        <v>70775</v>
      </c>
      <c r="N77" s="32">
        <v>1</v>
      </c>
      <c r="O77" s="50" t="s">
        <v>610</v>
      </c>
      <c r="P77" s="89">
        <v>70775</v>
      </c>
      <c r="Q77" s="4">
        <v>43969</v>
      </c>
      <c r="R77" s="90" t="s">
        <v>611</v>
      </c>
      <c r="S77" s="90"/>
      <c r="T77" s="90"/>
      <c r="U77" s="90"/>
      <c r="V77" s="33" t="s">
        <v>87</v>
      </c>
      <c r="W77" s="33" t="s">
        <v>24</v>
      </c>
      <c r="X77" s="53" t="s">
        <v>612</v>
      </c>
    </row>
    <row r="78" spans="1:24" ht="22.5" x14ac:dyDescent="0.2">
      <c r="A78" s="2" t="s">
        <v>613</v>
      </c>
      <c r="B78" s="81" t="s">
        <v>614</v>
      </c>
      <c r="C78" s="4" t="s">
        <v>73</v>
      </c>
      <c r="D78" s="5" t="s">
        <v>73</v>
      </c>
      <c r="E78" s="3" t="s">
        <v>86</v>
      </c>
      <c r="F78" s="3" t="s">
        <v>86</v>
      </c>
      <c r="G78" s="49"/>
      <c r="H78" s="5"/>
      <c r="I78" s="5"/>
      <c r="J78" s="5"/>
      <c r="K78" s="3" t="s">
        <v>86</v>
      </c>
      <c r="L78" s="3" t="s">
        <v>86</v>
      </c>
      <c r="M78" s="31">
        <v>146647</v>
      </c>
      <c r="N78" s="32">
        <v>1</v>
      </c>
      <c r="O78" s="50" t="s">
        <v>615</v>
      </c>
      <c r="P78" s="89">
        <v>146647</v>
      </c>
      <c r="Q78" s="4">
        <v>43990</v>
      </c>
      <c r="R78" s="90" t="s">
        <v>616</v>
      </c>
      <c r="S78" s="90"/>
      <c r="T78" s="90"/>
      <c r="U78" s="90"/>
      <c r="V78" s="33" t="s">
        <v>87</v>
      </c>
      <c r="W78" s="33" t="s">
        <v>24</v>
      </c>
      <c r="X78" s="53" t="s">
        <v>617</v>
      </c>
    </row>
    <row r="79" spans="1:24" ht="22.5" x14ac:dyDescent="0.2">
      <c r="A79" s="2" t="s">
        <v>618</v>
      </c>
      <c r="B79" s="81" t="s">
        <v>619</v>
      </c>
      <c r="C79" s="4">
        <v>43994</v>
      </c>
      <c r="D79" s="47" t="s">
        <v>620</v>
      </c>
      <c r="E79" s="3" t="s">
        <v>621</v>
      </c>
      <c r="F79" s="47" t="s">
        <v>622</v>
      </c>
      <c r="G79" s="49"/>
      <c r="H79" s="49"/>
      <c r="I79" s="49"/>
      <c r="J79" s="5"/>
      <c r="K79" s="4">
        <v>44026</v>
      </c>
      <c r="L79" s="50" t="s">
        <v>623</v>
      </c>
      <c r="M79" s="31">
        <f>279970+361166+425000+439000+502245</f>
        <v>2007381</v>
      </c>
      <c r="N79" s="32">
        <v>5</v>
      </c>
      <c r="O79" s="49" t="s">
        <v>624</v>
      </c>
      <c r="P79" s="89">
        <v>306782</v>
      </c>
      <c r="Q79" s="4">
        <v>44060</v>
      </c>
      <c r="R79" s="90" t="s">
        <v>625</v>
      </c>
      <c r="S79" s="90"/>
      <c r="T79" s="90"/>
      <c r="U79" s="90"/>
      <c r="V79" s="33" t="s">
        <v>72</v>
      </c>
      <c r="W79" s="33" t="s">
        <v>24</v>
      </c>
      <c r="X79" s="53"/>
    </row>
    <row r="80" spans="1:24" x14ac:dyDescent="0.2">
      <c r="A80" s="2" t="s">
        <v>626</v>
      </c>
      <c r="B80" s="81" t="s">
        <v>627</v>
      </c>
      <c r="C80" s="4">
        <v>44011</v>
      </c>
      <c r="D80" s="50" t="s">
        <v>628</v>
      </c>
      <c r="E80" s="3" t="s">
        <v>629</v>
      </c>
      <c r="F80" s="50" t="s">
        <v>630</v>
      </c>
      <c r="G80" s="47"/>
      <c r="H80" s="4"/>
      <c r="I80" s="4"/>
      <c r="J80" s="4"/>
      <c r="K80" s="4">
        <v>44054</v>
      </c>
      <c r="L80" s="50" t="s">
        <v>631</v>
      </c>
      <c r="M80" s="31">
        <f>597540+649860.64+558258+527471+524150.6+567813.75+461227+528739+642859+650264</f>
        <v>5708182.9900000002</v>
      </c>
      <c r="N80" s="32">
        <v>10</v>
      </c>
      <c r="O80" s="49" t="s">
        <v>632</v>
      </c>
      <c r="P80" s="89">
        <v>461227</v>
      </c>
      <c r="Q80" s="4">
        <v>44067</v>
      </c>
      <c r="R80" s="90" t="s">
        <v>430</v>
      </c>
      <c r="S80" s="90"/>
      <c r="T80" s="90"/>
      <c r="U80" s="90"/>
      <c r="V80" s="33" t="s">
        <v>72</v>
      </c>
      <c r="W80" s="33" t="s">
        <v>24</v>
      </c>
      <c r="X80" s="53"/>
    </row>
    <row r="81" spans="1:24" x14ac:dyDescent="0.2">
      <c r="A81" s="2" t="s">
        <v>633</v>
      </c>
      <c r="B81" s="81" t="s">
        <v>634</v>
      </c>
      <c r="C81" s="4">
        <v>44042</v>
      </c>
      <c r="D81" s="47" t="s">
        <v>635</v>
      </c>
      <c r="E81" s="3" t="s">
        <v>636</v>
      </c>
      <c r="F81" s="47" t="s">
        <v>637</v>
      </c>
      <c r="G81" s="5"/>
      <c r="H81" s="5"/>
      <c r="I81" s="5"/>
      <c r="J81" s="5"/>
      <c r="K81" s="4">
        <v>44075</v>
      </c>
      <c r="L81" s="50" t="s">
        <v>638</v>
      </c>
      <c r="M81" s="31">
        <f>1025325+1095909.95+1179086+1228596+1335019+1368432.22+1495299+1564107+1642760.98+1722666.21</f>
        <v>13657201.359999999</v>
      </c>
      <c r="N81" s="32">
        <v>10</v>
      </c>
      <c r="O81" s="49" t="s">
        <v>639</v>
      </c>
      <c r="P81" s="89">
        <v>1095920.45</v>
      </c>
      <c r="Q81" s="4">
        <v>44123</v>
      </c>
      <c r="R81" s="90" t="s">
        <v>421</v>
      </c>
      <c r="S81" s="90"/>
      <c r="T81" s="90"/>
      <c r="U81" s="90"/>
      <c r="V81" s="33" t="s">
        <v>72</v>
      </c>
      <c r="W81" s="33" t="s">
        <v>24</v>
      </c>
      <c r="X81" s="53"/>
    </row>
    <row r="82" spans="1:24" x14ac:dyDescent="0.2">
      <c r="A82" s="2" t="s">
        <v>640</v>
      </c>
      <c r="B82" s="81" t="s">
        <v>641</v>
      </c>
      <c r="C82" s="4">
        <v>44007</v>
      </c>
      <c r="D82" s="49" t="s">
        <v>642</v>
      </c>
      <c r="E82" s="3" t="s">
        <v>643</v>
      </c>
      <c r="F82" s="49" t="s">
        <v>644</v>
      </c>
      <c r="G82" s="49" t="s">
        <v>645</v>
      </c>
      <c r="H82" s="5"/>
      <c r="I82" s="5"/>
      <c r="J82" s="5"/>
      <c r="K82" s="4">
        <v>44042</v>
      </c>
      <c r="L82" s="47" t="s">
        <v>646</v>
      </c>
      <c r="M82" s="31">
        <f>567740.9+584236+591364+623824+651561+690490+694399+736264</f>
        <v>5139878.9000000004</v>
      </c>
      <c r="N82" s="32">
        <v>8</v>
      </c>
      <c r="O82" s="49" t="s">
        <v>647</v>
      </c>
      <c r="P82" s="89">
        <v>567740.9</v>
      </c>
      <c r="Q82" s="4">
        <v>44060</v>
      </c>
      <c r="R82" s="90" t="s">
        <v>473</v>
      </c>
      <c r="S82" s="90"/>
      <c r="T82" s="90"/>
      <c r="U82" s="90"/>
      <c r="V82" s="33" t="s">
        <v>72</v>
      </c>
      <c r="W82" s="33" t="s">
        <v>24</v>
      </c>
      <c r="X82" s="53"/>
    </row>
    <row r="83" spans="1:24" x14ac:dyDescent="0.2">
      <c r="A83" s="2" t="s">
        <v>648</v>
      </c>
      <c r="B83" s="81" t="s">
        <v>649</v>
      </c>
      <c r="C83" s="4" t="s">
        <v>73</v>
      </c>
      <c r="D83" s="44" t="s">
        <v>73</v>
      </c>
      <c r="E83" s="3" t="s">
        <v>86</v>
      </c>
      <c r="F83" s="3" t="s">
        <v>86</v>
      </c>
      <c r="G83" s="49"/>
      <c r="H83" s="5"/>
      <c r="I83" s="5"/>
      <c r="J83" s="5"/>
      <c r="K83" s="3" t="s">
        <v>86</v>
      </c>
      <c r="L83" s="3" t="s">
        <v>86</v>
      </c>
      <c r="M83" s="31">
        <v>1012980</v>
      </c>
      <c r="N83" s="32">
        <v>1</v>
      </c>
      <c r="O83" s="47" t="s">
        <v>650</v>
      </c>
      <c r="P83" s="89">
        <v>1012980</v>
      </c>
      <c r="Q83" s="4">
        <v>44004</v>
      </c>
      <c r="R83" s="90" t="s">
        <v>651</v>
      </c>
      <c r="S83" s="90"/>
      <c r="T83" s="90"/>
      <c r="U83" s="90"/>
      <c r="V83" s="33" t="s">
        <v>87</v>
      </c>
      <c r="W83" s="33" t="s">
        <v>22</v>
      </c>
      <c r="X83" s="53" t="s">
        <v>652</v>
      </c>
    </row>
    <row r="84" spans="1:24" ht="22.5" x14ac:dyDescent="0.2">
      <c r="A84" s="2" t="s">
        <v>653</v>
      </c>
      <c r="B84" s="138" t="s">
        <v>654</v>
      </c>
      <c r="C84" s="4" t="s">
        <v>73</v>
      </c>
      <c r="D84" s="44" t="s">
        <v>73</v>
      </c>
      <c r="E84" s="3" t="s">
        <v>86</v>
      </c>
      <c r="F84" s="3" t="s">
        <v>86</v>
      </c>
      <c r="G84" s="4"/>
      <c r="H84" s="4"/>
      <c r="I84" s="4"/>
      <c r="J84" s="4"/>
      <c r="K84" s="4" t="s">
        <v>86</v>
      </c>
      <c r="L84" s="3" t="s">
        <v>86</v>
      </c>
      <c r="M84" s="31">
        <v>934844.32</v>
      </c>
      <c r="N84" s="32">
        <v>1</v>
      </c>
      <c r="O84" s="47" t="s">
        <v>655</v>
      </c>
      <c r="P84" s="89">
        <v>934844.32</v>
      </c>
      <c r="Q84" s="4">
        <v>44004</v>
      </c>
      <c r="R84" s="90" t="s">
        <v>370</v>
      </c>
      <c r="S84" s="90"/>
      <c r="T84" s="90"/>
      <c r="U84" s="90"/>
      <c r="V84" s="33" t="s">
        <v>87</v>
      </c>
      <c r="W84" s="33" t="s">
        <v>22</v>
      </c>
      <c r="X84" s="53" t="s">
        <v>656</v>
      </c>
    </row>
    <row r="85" spans="1:24" x14ac:dyDescent="0.2">
      <c r="A85" s="2" t="s">
        <v>657</v>
      </c>
      <c r="B85" s="81" t="s">
        <v>658</v>
      </c>
      <c r="C85" s="4">
        <v>44007</v>
      </c>
      <c r="D85" s="49" t="s">
        <v>659</v>
      </c>
      <c r="E85" s="3" t="s">
        <v>643</v>
      </c>
      <c r="F85" s="49" t="s">
        <v>660</v>
      </c>
      <c r="G85" s="5"/>
      <c r="H85" s="5"/>
      <c r="I85" s="5"/>
      <c r="J85" s="5"/>
      <c r="K85" s="4">
        <v>44041</v>
      </c>
      <c r="L85" s="47" t="s">
        <v>661</v>
      </c>
      <c r="M85" s="31">
        <f>723600.55+728162.5+736709+748648+763064.07+794549+942665+1048901</f>
        <v>6486299.1199999992</v>
      </c>
      <c r="N85" s="32">
        <v>8</v>
      </c>
      <c r="O85" s="49" t="s">
        <v>662</v>
      </c>
      <c r="P85" s="89">
        <v>723000.55</v>
      </c>
      <c r="Q85" s="4">
        <v>44067</v>
      </c>
      <c r="R85" s="90" t="s">
        <v>663</v>
      </c>
      <c r="S85" s="90"/>
      <c r="T85" s="90"/>
      <c r="U85" s="90"/>
      <c r="V85" s="33" t="s">
        <v>72</v>
      </c>
      <c r="W85" s="33" t="s">
        <v>24</v>
      </c>
      <c r="X85" s="53"/>
    </row>
    <row r="86" spans="1:24" x14ac:dyDescent="0.2">
      <c r="A86" s="2" t="s">
        <v>664</v>
      </c>
      <c r="B86" s="81" t="s">
        <v>665</v>
      </c>
      <c r="C86" s="4">
        <v>44007</v>
      </c>
      <c r="D86" s="49" t="s">
        <v>666</v>
      </c>
      <c r="E86" s="3" t="s">
        <v>629</v>
      </c>
      <c r="F86" s="50" t="s">
        <v>667</v>
      </c>
      <c r="G86" s="49" t="s">
        <v>668</v>
      </c>
      <c r="H86" s="4"/>
      <c r="I86" s="4"/>
      <c r="J86" s="4"/>
      <c r="K86" s="4">
        <v>44049</v>
      </c>
      <c r="L86" s="47" t="s">
        <v>669</v>
      </c>
      <c r="M86" s="31">
        <f>86000+119850+126025+132500+397130</f>
        <v>861505</v>
      </c>
      <c r="N86" s="32">
        <v>5</v>
      </c>
      <c r="O86" s="49" t="s">
        <v>670</v>
      </c>
      <c r="P86" s="89">
        <v>86000</v>
      </c>
      <c r="Q86" s="4">
        <v>44067</v>
      </c>
      <c r="R86" s="90" t="s">
        <v>671</v>
      </c>
      <c r="S86" s="90"/>
      <c r="T86" s="90"/>
      <c r="U86" s="90"/>
      <c r="V86" s="33" t="s">
        <v>72</v>
      </c>
      <c r="W86" s="33" t="s">
        <v>24</v>
      </c>
      <c r="X86" s="53"/>
    </row>
    <row r="87" spans="1:24" ht="22.5" x14ac:dyDescent="0.2">
      <c r="A87" s="2" t="s">
        <v>672</v>
      </c>
      <c r="B87" s="81" t="s">
        <v>673</v>
      </c>
      <c r="C87" s="4">
        <v>44055</v>
      </c>
      <c r="D87" s="50" t="s">
        <v>674</v>
      </c>
      <c r="E87" s="3" t="s">
        <v>675</v>
      </c>
      <c r="F87" s="49" t="s">
        <v>676</v>
      </c>
      <c r="G87" s="49" t="s">
        <v>677</v>
      </c>
      <c r="H87" s="5"/>
      <c r="I87" s="5"/>
      <c r="J87" s="5"/>
      <c r="K87" s="4">
        <v>44091</v>
      </c>
      <c r="L87" s="49" t="s">
        <v>678</v>
      </c>
      <c r="M87" s="31">
        <f>1350885.13+2191282</f>
        <v>3542167.13</v>
      </c>
      <c r="N87" s="32">
        <v>2</v>
      </c>
      <c r="O87" s="49" t="s">
        <v>679</v>
      </c>
      <c r="P87" s="89">
        <v>1350885.13</v>
      </c>
      <c r="Q87" s="4">
        <v>44123</v>
      </c>
      <c r="R87" s="97" t="s">
        <v>680</v>
      </c>
      <c r="S87" s="97"/>
      <c r="T87" s="97"/>
      <c r="U87" s="97"/>
      <c r="V87" s="33" t="s">
        <v>72</v>
      </c>
      <c r="W87" s="33" t="s">
        <v>24</v>
      </c>
      <c r="X87" s="53"/>
    </row>
    <row r="88" spans="1:24" ht="22.5" x14ac:dyDescent="0.2">
      <c r="A88" s="2" t="s">
        <v>681</v>
      </c>
      <c r="B88" s="81" t="s">
        <v>682</v>
      </c>
      <c r="C88" s="4" t="s">
        <v>73</v>
      </c>
      <c r="D88" s="44" t="s">
        <v>73</v>
      </c>
      <c r="E88" s="3" t="s">
        <v>86</v>
      </c>
      <c r="F88" s="3" t="s">
        <v>86</v>
      </c>
      <c r="G88" s="5"/>
      <c r="H88" s="5"/>
      <c r="I88" s="5"/>
      <c r="J88" s="5"/>
      <c r="K88" s="4" t="s">
        <v>86</v>
      </c>
      <c r="L88" s="33" t="s">
        <v>86</v>
      </c>
      <c r="M88" s="31">
        <v>1710464.35</v>
      </c>
      <c r="N88" s="32">
        <v>1</v>
      </c>
      <c r="O88" s="50" t="s">
        <v>683</v>
      </c>
      <c r="P88" s="89">
        <v>1710464.35</v>
      </c>
      <c r="Q88" s="4">
        <v>44025</v>
      </c>
      <c r="R88" s="90" t="s">
        <v>684</v>
      </c>
      <c r="S88" s="90"/>
      <c r="T88" s="90"/>
      <c r="U88" s="90"/>
      <c r="V88" s="33" t="s">
        <v>87</v>
      </c>
      <c r="W88" s="33" t="s">
        <v>22</v>
      </c>
      <c r="X88" s="53" t="s">
        <v>685</v>
      </c>
    </row>
    <row r="89" spans="1:24" x14ac:dyDescent="0.2">
      <c r="A89" s="2" t="s">
        <v>686</v>
      </c>
      <c r="B89" s="81" t="s">
        <v>687</v>
      </c>
      <c r="C89" s="4" t="s">
        <v>73</v>
      </c>
      <c r="D89" s="44" t="s">
        <v>73</v>
      </c>
      <c r="E89" s="3" t="s">
        <v>86</v>
      </c>
      <c r="F89" s="3" t="s">
        <v>86</v>
      </c>
      <c r="G89" s="5"/>
      <c r="H89" s="5"/>
      <c r="I89" s="5"/>
      <c r="J89" s="5"/>
      <c r="K89" s="4" t="s">
        <v>86</v>
      </c>
      <c r="L89" s="33" t="s">
        <v>86</v>
      </c>
      <c r="M89" s="31">
        <v>225000</v>
      </c>
      <c r="N89" s="32">
        <v>1</v>
      </c>
      <c r="O89" s="50" t="s">
        <v>688</v>
      </c>
      <c r="P89" s="95">
        <v>225000</v>
      </c>
      <c r="Q89" s="4">
        <v>44025</v>
      </c>
      <c r="R89" s="90" t="s">
        <v>689</v>
      </c>
      <c r="S89" s="90"/>
      <c r="T89" s="90"/>
      <c r="U89" s="90"/>
      <c r="V89" s="33" t="s">
        <v>87</v>
      </c>
      <c r="W89" s="33" t="s">
        <v>22</v>
      </c>
      <c r="X89" s="53" t="s">
        <v>690</v>
      </c>
    </row>
    <row r="90" spans="1:24" x14ac:dyDescent="0.2">
      <c r="A90" s="2" t="s">
        <v>691</v>
      </c>
      <c r="B90" s="81" t="s">
        <v>692</v>
      </c>
      <c r="C90" s="5" t="s">
        <v>73</v>
      </c>
      <c r="D90" s="44" t="s">
        <v>73</v>
      </c>
      <c r="E90" s="3" t="s">
        <v>86</v>
      </c>
      <c r="F90" s="3" t="s">
        <v>86</v>
      </c>
      <c r="G90" s="5"/>
      <c r="H90" s="5"/>
      <c r="I90" s="5"/>
      <c r="J90" s="5"/>
      <c r="K90" s="4" t="s">
        <v>86</v>
      </c>
      <c r="L90" s="33" t="s">
        <v>86</v>
      </c>
      <c r="M90" s="31">
        <f>545128.87+34378.55</f>
        <v>579507.42000000004</v>
      </c>
      <c r="N90" s="32">
        <v>1</v>
      </c>
      <c r="O90" s="50" t="s">
        <v>693</v>
      </c>
      <c r="P90" s="89">
        <f>545128.87+34378.55</f>
        <v>579507.42000000004</v>
      </c>
      <c r="Q90" s="4">
        <v>44025</v>
      </c>
      <c r="R90" s="90" t="s">
        <v>694</v>
      </c>
      <c r="S90" s="90" t="s">
        <v>370</v>
      </c>
      <c r="T90" s="90"/>
      <c r="U90" s="90"/>
      <c r="V90" s="33" t="s">
        <v>87</v>
      </c>
      <c r="W90" s="33" t="s">
        <v>22</v>
      </c>
      <c r="X90" s="53" t="s">
        <v>695</v>
      </c>
    </row>
    <row r="91" spans="1:24" ht="22.5" x14ac:dyDescent="0.2">
      <c r="A91" s="2" t="s">
        <v>696</v>
      </c>
      <c r="B91" s="81" t="s">
        <v>697</v>
      </c>
      <c r="C91" s="5" t="s">
        <v>73</v>
      </c>
      <c r="D91" s="44" t="s">
        <v>73</v>
      </c>
      <c r="E91" s="3" t="s">
        <v>86</v>
      </c>
      <c r="F91" s="5" t="s">
        <v>86</v>
      </c>
      <c r="G91" s="5"/>
      <c r="H91" s="5"/>
      <c r="I91" s="5"/>
      <c r="J91" s="5"/>
      <c r="K91" s="4" t="s">
        <v>86</v>
      </c>
      <c r="L91" s="33" t="s">
        <v>86</v>
      </c>
      <c r="M91" s="31">
        <v>169747</v>
      </c>
      <c r="N91" s="32">
        <v>1</v>
      </c>
      <c r="O91" s="50" t="s">
        <v>698</v>
      </c>
      <c r="P91" s="89">
        <v>169747</v>
      </c>
      <c r="Q91" s="4">
        <v>44025</v>
      </c>
      <c r="R91" s="90" t="s">
        <v>699</v>
      </c>
      <c r="S91" s="90"/>
      <c r="T91" s="90"/>
      <c r="U91" s="90"/>
      <c r="V91" s="33" t="s">
        <v>87</v>
      </c>
      <c r="W91" s="33" t="s">
        <v>24</v>
      </c>
      <c r="X91" s="53" t="s">
        <v>436</v>
      </c>
    </row>
    <row r="92" spans="1:24" ht="22.5" x14ac:dyDescent="0.2">
      <c r="A92" s="2" t="s">
        <v>700</v>
      </c>
      <c r="B92" s="81" t="s">
        <v>701</v>
      </c>
      <c r="C92" s="5" t="s">
        <v>73</v>
      </c>
      <c r="D92" s="44" t="s">
        <v>73</v>
      </c>
      <c r="E92" s="3" t="s">
        <v>86</v>
      </c>
      <c r="F92" s="5" t="s">
        <v>86</v>
      </c>
      <c r="G92" s="5"/>
      <c r="H92" s="5"/>
      <c r="I92" s="5"/>
      <c r="J92" s="5"/>
      <c r="K92" s="4" t="s">
        <v>86</v>
      </c>
      <c r="L92" s="33" t="s">
        <v>86</v>
      </c>
      <c r="M92" s="31">
        <f>200000+5000+100000+75000</f>
        <v>380000</v>
      </c>
      <c r="N92" s="32">
        <v>1</v>
      </c>
      <c r="O92" s="50" t="s">
        <v>702</v>
      </c>
      <c r="P92" s="89">
        <f>200000+5000+100000+75000</f>
        <v>380000</v>
      </c>
      <c r="Q92" s="4">
        <v>44025</v>
      </c>
      <c r="R92" s="90" t="s">
        <v>703</v>
      </c>
      <c r="S92" s="90" t="s">
        <v>704</v>
      </c>
      <c r="T92" s="90" t="s">
        <v>705</v>
      </c>
      <c r="U92" s="90" t="s">
        <v>706</v>
      </c>
      <c r="V92" s="33" t="s">
        <v>87</v>
      </c>
      <c r="W92" s="33" t="s">
        <v>22</v>
      </c>
      <c r="X92" s="53" t="s">
        <v>707</v>
      </c>
    </row>
    <row r="93" spans="1:24" x14ac:dyDescent="0.2">
      <c r="A93" s="2" t="s">
        <v>708</v>
      </c>
      <c r="B93" s="81" t="s">
        <v>709</v>
      </c>
      <c r="C93" s="5" t="s">
        <v>73</v>
      </c>
      <c r="D93" s="44" t="s">
        <v>73</v>
      </c>
      <c r="E93" s="3" t="s">
        <v>86</v>
      </c>
      <c r="F93" s="3" t="s">
        <v>86</v>
      </c>
      <c r="G93" s="5"/>
      <c r="H93" s="5"/>
      <c r="I93" s="5"/>
      <c r="J93" s="5"/>
      <c r="K93" s="4" t="s">
        <v>86</v>
      </c>
      <c r="L93" s="33" t="s">
        <v>86</v>
      </c>
      <c r="M93" s="31">
        <f>40000+25000</f>
        <v>65000</v>
      </c>
      <c r="N93" s="32">
        <v>1</v>
      </c>
      <c r="O93" s="50" t="s">
        <v>710</v>
      </c>
      <c r="P93" s="89">
        <f>40000+25000</f>
        <v>65000</v>
      </c>
      <c r="Q93" s="4">
        <v>44025</v>
      </c>
      <c r="R93" s="90" t="s">
        <v>711</v>
      </c>
      <c r="S93" s="90" t="s">
        <v>712</v>
      </c>
      <c r="T93" s="90"/>
      <c r="U93" s="90"/>
      <c r="V93" s="33" t="s">
        <v>87</v>
      </c>
      <c r="W93" s="33" t="s">
        <v>22</v>
      </c>
      <c r="X93" s="53" t="s">
        <v>140</v>
      </c>
    </row>
    <row r="94" spans="1:24" x14ac:dyDescent="0.2">
      <c r="A94" s="2" t="s">
        <v>713</v>
      </c>
      <c r="B94" s="81" t="s">
        <v>714</v>
      </c>
      <c r="C94" s="5" t="s">
        <v>73</v>
      </c>
      <c r="D94" s="44" t="s">
        <v>73</v>
      </c>
      <c r="E94" s="3" t="s">
        <v>715</v>
      </c>
      <c r="F94" s="47" t="s">
        <v>716</v>
      </c>
      <c r="G94" s="5"/>
      <c r="H94" s="5"/>
      <c r="I94" s="5"/>
      <c r="J94" s="5"/>
      <c r="K94" s="4">
        <v>44062</v>
      </c>
      <c r="L94" s="49" t="s">
        <v>717</v>
      </c>
      <c r="M94" s="31">
        <f>100000*N94</f>
        <v>900000</v>
      </c>
      <c r="N94" s="32">
        <v>9</v>
      </c>
      <c r="O94" s="50" t="s">
        <v>718</v>
      </c>
      <c r="P94" s="89">
        <v>100000</v>
      </c>
      <c r="Q94" s="4">
        <v>44102</v>
      </c>
      <c r="R94" s="90" t="s">
        <v>719</v>
      </c>
      <c r="S94" s="90"/>
      <c r="T94" s="90"/>
      <c r="U94" s="90"/>
      <c r="V94" s="33" t="s">
        <v>72</v>
      </c>
      <c r="W94" s="33" t="s">
        <v>23</v>
      </c>
      <c r="X94" s="53"/>
    </row>
    <row r="95" spans="1:24" ht="22.5" x14ac:dyDescent="0.2">
      <c r="A95" s="2" t="s">
        <v>720</v>
      </c>
      <c r="B95" s="81" t="s">
        <v>721</v>
      </c>
      <c r="C95" s="5" t="s">
        <v>73</v>
      </c>
      <c r="D95" s="44" t="s">
        <v>73</v>
      </c>
      <c r="E95" s="98" t="s">
        <v>722</v>
      </c>
      <c r="F95" s="50" t="s">
        <v>723</v>
      </c>
      <c r="G95" s="5"/>
      <c r="H95" s="5"/>
      <c r="I95" s="5"/>
      <c r="J95" s="5"/>
      <c r="K95" s="4">
        <v>44063</v>
      </c>
      <c r="L95" s="49" t="s">
        <v>724</v>
      </c>
      <c r="M95" s="31">
        <f>150000*2</f>
        <v>300000</v>
      </c>
      <c r="N95" s="32">
        <v>2</v>
      </c>
      <c r="O95" s="49" t="s">
        <v>725</v>
      </c>
      <c r="P95" s="89">
        <f>100000+49000</f>
        <v>149000</v>
      </c>
      <c r="Q95" s="4">
        <v>44088</v>
      </c>
      <c r="R95" s="90" t="s">
        <v>726</v>
      </c>
      <c r="S95" s="90" t="s">
        <v>727</v>
      </c>
      <c r="T95" s="90"/>
      <c r="U95" s="90"/>
      <c r="V95" s="33" t="s">
        <v>72</v>
      </c>
      <c r="W95" s="33" t="s">
        <v>22</v>
      </c>
      <c r="X95" s="53"/>
    </row>
    <row r="96" spans="1:24" ht="22.5" x14ac:dyDescent="0.2">
      <c r="A96" s="2" t="s">
        <v>728</v>
      </c>
      <c r="B96" s="81" t="s">
        <v>729</v>
      </c>
      <c r="C96" s="5" t="s">
        <v>73</v>
      </c>
      <c r="D96" s="44" t="s">
        <v>73</v>
      </c>
      <c r="E96" s="3" t="s">
        <v>86</v>
      </c>
      <c r="F96" s="5" t="s">
        <v>86</v>
      </c>
      <c r="G96" s="5"/>
      <c r="H96" s="5"/>
      <c r="I96" s="5"/>
      <c r="J96" s="5"/>
      <c r="K96" s="4" t="s">
        <v>86</v>
      </c>
      <c r="L96" s="33" t="s">
        <v>86</v>
      </c>
      <c r="M96" s="31">
        <f>1241134+221258</f>
        <v>1462392</v>
      </c>
      <c r="N96" s="32">
        <v>1</v>
      </c>
      <c r="O96" s="49" t="s">
        <v>730</v>
      </c>
      <c r="P96" s="89">
        <f>1241134+221258</f>
        <v>1462392</v>
      </c>
      <c r="Q96" s="4">
        <v>44046</v>
      </c>
      <c r="R96" s="90" t="s">
        <v>731</v>
      </c>
      <c r="S96" s="90" t="s">
        <v>732</v>
      </c>
      <c r="T96" s="90"/>
      <c r="U96" s="90"/>
      <c r="V96" s="33" t="s">
        <v>87</v>
      </c>
      <c r="W96" s="33" t="s">
        <v>24</v>
      </c>
      <c r="X96" s="78" t="s">
        <v>733</v>
      </c>
    </row>
    <row r="97" spans="1:24" x14ac:dyDescent="0.2">
      <c r="A97" s="2" t="s">
        <v>734</v>
      </c>
      <c r="B97" s="81" t="s">
        <v>735</v>
      </c>
      <c r="C97" s="4">
        <v>44042</v>
      </c>
      <c r="D97" s="47" t="s">
        <v>736</v>
      </c>
      <c r="E97" s="3" t="s">
        <v>737</v>
      </c>
      <c r="F97" s="47" t="s">
        <v>738</v>
      </c>
      <c r="G97" s="49" t="s">
        <v>739</v>
      </c>
      <c r="H97" s="4"/>
      <c r="I97" s="4"/>
      <c r="J97" s="4"/>
      <c r="K97" s="4">
        <v>44070</v>
      </c>
      <c r="L97" s="50" t="s">
        <v>740</v>
      </c>
      <c r="M97" s="31">
        <f>60775+85735+104803</f>
        <v>251313</v>
      </c>
      <c r="N97" s="32">
        <v>3</v>
      </c>
      <c r="O97" s="50" t="s">
        <v>741</v>
      </c>
      <c r="P97" s="89">
        <v>60775</v>
      </c>
      <c r="Q97" s="4">
        <v>44102</v>
      </c>
      <c r="R97" s="90" t="s">
        <v>742</v>
      </c>
      <c r="S97" s="90"/>
      <c r="T97" s="90"/>
      <c r="U97" s="90"/>
      <c r="V97" s="33" t="s">
        <v>72</v>
      </c>
      <c r="W97" s="33" t="s">
        <v>24</v>
      </c>
      <c r="X97" s="53"/>
    </row>
    <row r="98" spans="1:24" ht="22.5" x14ac:dyDescent="0.2">
      <c r="A98" s="2" t="s">
        <v>743</v>
      </c>
      <c r="B98" s="81" t="s">
        <v>744</v>
      </c>
      <c r="C98" s="4" t="s">
        <v>73</v>
      </c>
      <c r="D98" s="44" t="s">
        <v>73</v>
      </c>
      <c r="E98" s="3" t="s">
        <v>86</v>
      </c>
      <c r="F98" s="4" t="s">
        <v>86</v>
      </c>
      <c r="G98" s="4"/>
      <c r="H98" s="4"/>
      <c r="I98" s="4"/>
      <c r="J98" s="4"/>
      <c r="K98" s="4" t="s">
        <v>86</v>
      </c>
      <c r="L98" s="33" t="s">
        <v>86</v>
      </c>
      <c r="M98" s="31">
        <v>419993.18</v>
      </c>
      <c r="N98" s="32">
        <v>1</v>
      </c>
      <c r="O98" s="49" t="s">
        <v>745</v>
      </c>
      <c r="P98" s="89">
        <v>419993.18</v>
      </c>
      <c r="Q98" s="4">
        <v>44060</v>
      </c>
      <c r="R98" s="90" t="s">
        <v>746</v>
      </c>
      <c r="S98" s="90"/>
      <c r="T98" s="90"/>
      <c r="U98" s="90"/>
      <c r="V98" s="33" t="s">
        <v>87</v>
      </c>
      <c r="W98" s="33" t="s">
        <v>24</v>
      </c>
      <c r="X98" s="53" t="s">
        <v>747</v>
      </c>
    </row>
    <row r="99" spans="1:24" x14ac:dyDescent="0.2">
      <c r="A99" s="2" t="s">
        <v>748</v>
      </c>
      <c r="B99" s="138" t="s">
        <v>749</v>
      </c>
      <c r="C99" s="4">
        <v>44069</v>
      </c>
      <c r="D99" s="49" t="s">
        <v>750</v>
      </c>
      <c r="E99" s="3" t="s">
        <v>751</v>
      </c>
      <c r="F99" s="50" t="s">
        <v>752</v>
      </c>
      <c r="G99" s="4"/>
      <c r="H99" s="4"/>
      <c r="I99" s="4"/>
      <c r="J99" s="4"/>
      <c r="K99" s="4">
        <v>44099</v>
      </c>
      <c r="L99" s="50" t="s">
        <v>753</v>
      </c>
      <c r="M99" s="31">
        <f>690452.6+1210730+1273270+1483286.4+1484290+1499400+1545270+1666900</f>
        <v>10853599</v>
      </c>
      <c r="N99" s="32">
        <v>8</v>
      </c>
      <c r="O99" s="50" t="s">
        <v>754</v>
      </c>
      <c r="P99" s="89">
        <v>1210730</v>
      </c>
      <c r="Q99" s="4">
        <v>44144</v>
      </c>
      <c r="R99" s="90" t="s">
        <v>755</v>
      </c>
      <c r="S99" s="90"/>
      <c r="T99" s="90"/>
      <c r="U99" s="90"/>
      <c r="V99" s="33" t="s">
        <v>72</v>
      </c>
      <c r="W99" s="33" t="s">
        <v>24</v>
      </c>
      <c r="X99" s="53"/>
    </row>
    <row r="100" spans="1:24" x14ac:dyDescent="0.2">
      <c r="A100" s="2" t="s">
        <v>756</v>
      </c>
      <c r="B100" s="138" t="s">
        <v>757</v>
      </c>
      <c r="C100" s="4">
        <v>44069</v>
      </c>
      <c r="D100" s="49" t="s">
        <v>758</v>
      </c>
      <c r="E100" s="3" t="s">
        <v>751</v>
      </c>
      <c r="F100" s="50" t="s">
        <v>759</v>
      </c>
      <c r="G100" s="4"/>
      <c r="H100" s="4"/>
      <c r="I100" s="4"/>
      <c r="J100" s="4"/>
      <c r="K100" s="4">
        <v>44102</v>
      </c>
      <c r="L100" s="50" t="s">
        <v>760</v>
      </c>
      <c r="M100" s="31">
        <f>1279180+1303729+1349530+1374240.5+1419040+1519270+1542060+1578396+1582345+1621625.4+1744200</f>
        <v>16313615.9</v>
      </c>
      <c r="N100" s="32">
        <v>11</v>
      </c>
      <c r="O100" s="50" t="s">
        <v>761</v>
      </c>
      <c r="P100" s="89">
        <v>1279180</v>
      </c>
      <c r="Q100" s="4">
        <v>44144</v>
      </c>
      <c r="R100" s="90" t="s">
        <v>755</v>
      </c>
      <c r="S100" s="90"/>
      <c r="T100" s="90"/>
      <c r="U100" s="90"/>
      <c r="V100" s="33" t="s">
        <v>72</v>
      </c>
      <c r="W100" s="33" t="s">
        <v>24</v>
      </c>
      <c r="X100" s="53"/>
    </row>
    <row r="101" spans="1:24" ht="22.5" x14ac:dyDescent="0.2">
      <c r="A101" s="2" t="s">
        <v>762</v>
      </c>
      <c r="B101" s="138" t="s">
        <v>763</v>
      </c>
      <c r="C101" s="4" t="s">
        <v>73</v>
      </c>
      <c r="D101" s="44" t="s">
        <v>73</v>
      </c>
      <c r="E101" s="3" t="s">
        <v>86</v>
      </c>
      <c r="F101" s="4" t="s">
        <v>86</v>
      </c>
      <c r="G101" s="4"/>
      <c r="H101" s="4"/>
      <c r="I101" s="4"/>
      <c r="J101" s="4"/>
      <c r="K101" s="4" t="s">
        <v>86</v>
      </c>
      <c r="L101" s="33" t="s">
        <v>86</v>
      </c>
      <c r="M101" s="31">
        <v>77976.17</v>
      </c>
      <c r="N101" s="32">
        <v>1</v>
      </c>
      <c r="O101" s="49" t="s">
        <v>764</v>
      </c>
      <c r="P101" s="89">
        <v>77976.17</v>
      </c>
      <c r="Q101" s="4">
        <v>44067</v>
      </c>
      <c r="R101" s="90" t="s">
        <v>765</v>
      </c>
      <c r="S101" s="90"/>
      <c r="T101" s="90"/>
      <c r="U101" s="90"/>
      <c r="V101" s="33" t="s">
        <v>87</v>
      </c>
      <c r="W101" s="33" t="s">
        <v>23</v>
      </c>
      <c r="X101" s="78" t="s">
        <v>766</v>
      </c>
    </row>
    <row r="102" spans="1:24" ht="22.5" x14ac:dyDescent="0.2">
      <c r="A102" s="2" t="s">
        <v>767</v>
      </c>
      <c r="B102" s="138" t="s">
        <v>768</v>
      </c>
      <c r="C102" s="4" t="s">
        <v>73</v>
      </c>
      <c r="D102" s="44" t="s">
        <v>73</v>
      </c>
      <c r="E102" s="3" t="s">
        <v>86</v>
      </c>
      <c r="F102" s="4" t="s">
        <v>86</v>
      </c>
      <c r="G102" s="4"/>
      <c r="H102" s="4"/>
      <c r="I102" s="4"/>
      <c r="J102" s="4"/>
      <c r="K102" s="4" t="s">
        <v>86</v>
      </c>
      <c r="L102" s="33" t="s">
        <v>86</v>
      </c>
      <c r="M102" s="31">
        <f>106577.5+25661.7+3955.36</f>
        <v>136194.56</v>
      </c>
      <c r="N102" s="32">
        <v>1</v>
      </c>
      <c r="O102" s="49" t="s">
        <v>769</v>
      </c>
      <c r="P102" s="89">
        <f>106577.5+25661.7+3955.36</f>
        <v>136194.56</v>
      </c>
      <c r="Q102" s="4">
        <v>44088</v>
      </c>
      <c r="R102" s="90" t="s">
        <v>770</v>
      </c>
      <c r="S102" s="90" t="s">
        <v>694</v>
      </c>
      <c r="T102" s="90" t="s">
        <v>370</v>
      </c>
      <c r="U102" s="90"/>
      <c r="V102" s="33" t="s">
        <v>87</v>
      </c>
      <c r="W102" s="33" t="s">
        <v>22</v>
      </c>
      <c r="X102" s="78" t="s">
        <v>771</v>
      </c>
    </row>
    <row r="103" spans="1:24" ht="22.5" x14ac:dyDescent="0.2">
      <c r="A103" s="2" t="s">
        <v>772</v>
      </c>
      <c r="B103" s="138" t="s">
        <v>773</v>
      </c>
      <c r="C103" s="4" t="s">
        <v>73</v>
      </c>
      <c r="D103" s="44" t="s">
        <v>73</v>
      </c>
      <c r="E103" s="3" t="s">
        <v>86</v>
      </c>
      <c r="F103" s="4" t="s">
        <v>86</v>
      </c>
      <c r="G103" s="4"/>
      <c r="H103" s="4"/>
      <c r="I103" s="4"/>
      <c r="J103" s="4"/>
      <c r="K103" s="4" t="s">
        <v>86</v>
      </c>
      <c r="L103" s="33" t="s">
        <v>86</v>
      </c>
      <c r="M103" s="31">
        <v>123562</v>
      </c>
      <c r="N103" s="32">
        <v>1</v>
      </c>
      <c r="O103" s="49" t="s">
        <v>774</v>
      </c>
      <c r="P103" s="89">
        <v>123562</v>
      </c>
      <c r="Q103" s="4">
        <v>44088</v>
      </c>
      <c r="R103" s="90" t="s">
        <v>775</v>
      </c>
      <c r="S103" s="90"/>
      <c r="T103" s="90"/>
      <c r="U103" s="90"/>
      <c r="V103" s="33" t="s">
        <v>87</v>
      </c>
      <c r="W103" s="33" t="s">
        <v>24</v>
      </c>
      <c r="X103" s="53" t="s">
        <v>776</v>
      </c>
    </row>
    <row r="104" spans="1:24" ht="22.5" x14ac:dyDescent="0.2">
      <c r="A104" s="2" t="s">
        <v>777</v>
      </c>
      <c r="B104" s="138" t="s">
        <v>778</v>
      </c>
      <c r="C104" s="4" t="s">
        <v>73</v>
      </c>
      <c r="D104" s="44" t="s">
        <v>73</v>
      </c>
      <c r="E104" s="3" t="s">
        <v>86</v>
      </c>
      <c r="F104" s="4" t="s">
        <v>86</v>
      </c>
      <c r="G104" s="4"/>
      <c r="H104" s="4"/>
      <c r="I104" s="4"/>
      <c r="J104" s="4"/>
      <c r="K104" s="4" t="s">
        <v>86</v>
      </c>
      <c r="L104" s="33" t="s">
        <v>86</v>
      </c>
      <c r="M104" s="31">
        <v>54447.37</v>
      </c>
      <c r="N104" s="32">
        <v>1</v>
      </c>
      <c r="O104" s="49" t="s">
        <v>779</v>
      </c>
      <c r="P104" s="89">
        <v>54447.37</v>
      </c>
      <c r="Q104" s="4">
        <v>44088</v>
      </c>
      <c r="R104" s="90" t="s">
        <v>780</v>
      </c>
      <c r="S104" s="90"/>
      <c r="T104" s="90"/>
      <c r="U104" s="90"/>
      <c r="V104" s="33" t="s">
        <v>87</v>
      </c>
      <c r="W104" s="33" t="s">
        <v>24</v>
      </c>
      <c r="X104" s="53" t="s">
        <v>781</v>
      </c>
    </row>
    <row r="105" spans="1:24" ht="22.5" x14ac:dyDescent="0.2">
      <c r="A105" s="2" t="s">
        <v>782</v>
      </c>
      <c r="B105" s="138" t="s">
        <v>783</v>
      </c>
      <c r="C105" s="4" t="s">
        <v>73</v>
      </c>
      <c r="D105" s="44" t="s">
        <v>73</v>
      </c>
      <c r="E105" s="3" t="s">
        <v>86</v>
      </c>
      <c r="F105" s="4" t="s">
        <v>86</v>
      </c>
      <c r="G105" s="4"/>
      <c r="H105" s="4"/>
      <c r="I105" s="4"/>
      <c r="J105" s="4"/>
      <c r="K105" s="4" t="s">
        <v>86</v>
      </c>
      <c r="L105" s="33" t="s">
        <v>86</v>
      </c>
      <c r="M105" s="31">
        <v>251192</v>
      </c>
      <c r="N105" s="32">
        <v>1</v>
      </c>
      <c r="O105" s="49" t="s">
        <v>784</v>
      </c>
      <c r="P105" s="89">
        <v>251192</v>
      </c>
      <c r="Q105" s="4">
        <v>44088</v>
      </c>
      <c r="R105" s="90" t="s">
        <v>540</v>
      </c>
      <c r="S105" s="90"/>
      <c r="T105" s="90"/>
      <c r="U105" s="90"/>
      <c r="V105" s="33" t="s">
        <v>87</v>
      </c>
      <c r="W105" s="33" t="s">
        <v>24</v>
      </c>
      <c r="X105" s="53" t="s">
        <v>785</v>
      </c>
    </row>
    <row r="106" spans="1:24" ht="22.5" x14ac:dyDescent="0.2">
      <c r="A106" s="2" t="s">
        <v>786</v>
      </c>
      <c r="B106" s="138" t="s">
        <v>787</v>
      </c>
      <c r="C106" s="4" t="s">
        <v>73</v>
      </c>
      <c r="D106" s="44" t="s">
        <v>73</v>
      </c>
      <c r="E106" s="3" t="s">
        <v>86</v>
      </c>
      <c r="F106" s="4" t="s">
        <v>86</v>
      </c>
      <c r="G106" s="4"/>
      <c r="H106" s="4"/>
      <c r="I106" s="4"/>
      <c r="J106" s="4"/>
      <c r="K106" s="4" t="s">
        <v>86</v>
      </c>
      <c r="L106" s="33" t="s">
        <v>86</v>
      </c>
      <c r="M106" s="31">
        <v>2696206.47</v>
      </c>
      <c r="N106" s="32">
        <v>1</v>
      </c>
      <c r="O106" s="49" t="s">
        <v>788</v>
      </c>
      <c r="P106" s="89">
        <v>2696206.47</v>
      </c>
      <c r="Q106" s="4">
        <v>44102</v>
      </c>
      <c r="R106" s="90" t="s">
        <v>789</v>
      </c>
      <c r="S106" s="90"/>
      <c r="T106" s="90"/>
      <c r="U106" s="90"/>
      <c r="V106" s="33" t="s">
        <v>87</v>
      </c>
      <c r="W106" s="33" t="s">
        <v>22</v>
      </c>
      <c r="X106" s="53" t="s">
        <v>790</v>
      </c>
    </row>
    <row r="107" spans="1:24" ht="22.5" x14ac:dyDescent="0.2">
      <c r="A107" s="2" t="s">
        <v>791</v>
      </c>
      <c r="B107" s="138" t="s">
        <v>792</v>
      </c>
      <c r="C107" s="4" t="s">
        <v>73</v>
      </c>
      <c r="D107" s="44" t="s">
        <v>73</v>
      </c>
      <c r="E107" s="3" t="s">
        <v>86</v>
      </c>
      <c r="F107" s="4" t="s">
        <v>86</v>
      </c>
      <c r="G107" s="4"/>
      <c r="H107" s="4"/>
      <c r="I107" s="4"/>
      <c r="J107" s="4"/>
      <c r="K107" s="4" t="s">
        <v>86</v>
      </c>
      <c r="L107" s="33" t="s">
        <v>86</v>
      </c>
      <c r="M107" s="31">
        <v>57476.160000000003</v>
      </c>
      <c r="N107" s="32">
        <v>1</v>
      </c>
      <c r="O107" s="50" t="s">
        <v>793</v>
      </c>
      <c r="P107" s="89">
        <v>57476.160000000003</v>
      </c>
      <c r="Q107" s="4">
        <v>44102</v>
      </c>
      <c r="R107" s="90" t="s">
        <v>393</v>
      </c>
      <c r="S107" s="90"/>
      <c r="T107" s="90"/>
      <c r="U107" s="90"/>
      <c r="V107" s="33" t="s">
        <v>87</v>
      </c>
      <c r="W107" s="33" t="s">
        <v>24</v>
      </c>
      <c r="X107" s="53" t="s">
        <v>794</v>
      </c>
    </row>
    <row r="108" spans="1:24" ht="22.5" x14ac:dyDescent="0.2">
      <c r="A108" s="2" t="s">
        <v>795</v>
      </c>
      <c r="B108" s="138" t="s">
        <v>796</v>
      </c>
      <c r="C108" s="4" t="s">
        <v>73</v>
      </c>
      <c r="D108" s="44" t="s">
        <v>73</v>
      </c>
      <c r="E108" s="3" t="s">
        <v>86</v>
      </c>
      <c r="F108" s="4" t="s">
        <v>86</v>
      </c>
      <c r="G108" s="4"/>
      <c r="H108" s="4"/>
      <c r="I108" s="4"/>
      <c r="J108" s="4"/>
      <c r="K108" s="4" t="s">
        <v>86</v>
      </c>
      <c r="L108" s="33" t="s">
        <v>86</v>
      </c>
      <c r="M108" s="31">
        <f>491678+109977</f>
        <v>601655</v>
      </c>
      <c r="N108" s="32">
        <v>1</v>
      </c>
      <c r="O108" s="50" t="s">
        <v>797</v>
      </c>
      <c r="P108" s="89">
        <f>491678+109977</f>
        <v>601655</v>
      </c>
      <c r="Q108" s="4">
        <v>44102</v>
      </c>
      <c r="R108" s="90" t="s">
        <v>731</v>
      </c>
      <c r="S108" s="90" t="s">
        <v>732</v>
      </c>
      <c r="T108" s="90"/>
      <c r="U108" s="90"/>
      <c r="V108" s="33" t="s">
        <v>87</v>
      </c>
      <c r="W108" s="33" t="s">
        <v>24</v>
      </c>
      <c r="X108" s="78" t="s">
        <v>798</v>
      </c>
    </row>
    <row r="109" spans="1:24" x14ac:dyDescent="0.2">
      <c r="A109" s="2" t="s">
        <v>799</v>
      </c>
      <c r="B109" s="138" t="s">
        <v>800</v>
      </c>
      <c r="C109" s="4" t="s">
        <v>73</v>
      </c>
      <c r="D109" s="44" t="s">
        <v>73</v>
      </c>
      <c r="E109" s="3" t="s">
        <v>86</v>
      </c>
      <c r="F109" s="4" t="s">
        <v>86</v>
      </c>
      <c r="G109" s="4"/>
      <c r="H109" s="4"/>
      <c r="I109" s="4"/>
      <c r="J109" s="4"/>
      <c r="K109" s="4" t="s">
        <v>86</v>
      </c>
      <c r="L109" s="33" t="s">
        <v>86</v>
      </c>
      <c r="M109" s="31">
        <v>59753.25</v>
      </c>
      <c r="N109" s="32">
        <v>1</v>
      </c>
      <c r="O109" s="50" t="s">
        <v>801</v>
      </c>
      <c r="P109" s="89">
        <v>59753.25</v>
      </c>
      <c r="Q109" s="4">
        <v>44102</v>
      </c>
      <c r="R109" s="90" t="s">
        <v>802</v>
      </c>
      <c r="S109" s="90"/>
      <c r="T109" s="90"/>
      <c r="U109" s="90"/>
      <c r="V109" s="33" t="s">
        <v>87</v>
      </c>
      <c r="W109" s="33" t="s">
        <v>24</v>
      </c>
      <c r="X109" s="53" t="s">
        <v>612</v>
      </c>
    </row>
    <row r="110" spans="1:24" ht="22.5" x14ac:dyDescent="0.2">
      <c r="A110" s="2" t="s">
        <v>803</v>
      </c>
      <c r="B110" s="138" t="s">
        <v>804</v>
      </c>
      <c r="C110" s="4" t="s">
        <v>73</v>
      </c>
      <c r="D110" s="44" t="s">
        <v>73</v>
      </c>
      <c r="E110" s="3" t="s">
        <v>86</v>
      </c>
      <c r="F110" s="4" t="s">
        <v>86</v>
      </c>
      <c r="G110" s="4"/>
      <c r="H110" s="4"/>
      <c r="I110" s="4"/>
      <c r="J110" s="4"/>
      <c r="K110" s="4" t="s">
        <v>86</v>
      </c>
      <c r="L110" s="33" t="s">
        <v>86</v>
      </c>
      <c r="M110" s="31">
        <v>172700</v>
      </c>
      <c r="N110" s="32">
        <v>1</v>
      </c>
      <c r="O110" s="50" t="s">
        <v>805</v>
      </c>
      <c r="P110" s="89">
        <v>172700</v>
      </c>
      <c r="Q110" s="4">
        <v>44102</v>
      </c>
      <c r="R110" s="90" t="s">
        <v>806</v>
      </c>
      <c r="S110" s="90"/>
      <c r="T110" s="90"/>
      <c r="U110" s="90"/>
      <c r="V110" s="33" t="s">
        <v>87</v>
      </c>
      <c r="W110" s="33" t="s">
        <v>22</v>
      </c>
      <c r="X110" s="53" t="s">
        <v>807</v>
      </c>
    </row>
    <row r="111" spans="1:24" ht="22.5" x14ac:dyDescent="0.2">
      <c r="A111" s="2" t="s">
        <v>808</v>
      </c>
      <c r="B111" s="138" t="s">
        <v>809</v>
      </c>
      <c r="C111" s="4" t="s">
        <v>73</v>
      </c>
      <c r="D111" s="44" t="s">
        <v>73</v>
      </c>
      <c r="E111" s="3" t="s">
        <v>86</v>
      </c>
      <c r="F111" s="4" t="s">
        <v>86</v>
      </c>
      <c r="G111" s="4"/>
      <c r="H111" s="4"/>
      <c r="I111" s="4"/>
      <c r="J111" s="4"/>
      <c r="K111" s="4" t="s">
        <v>86</v>
      </c>
      <c r="L111" s="33" t="s">
        <v>86</v>
      </c>
      <c r="M111" s="31">
        <v>143796.21</v>
      </c>
      <c r="N111" s="32">
        <v>1</v>
      </c>
      <c r="O111" s="50" t="s">
        <v>810</v>
      </c>
      <c r="P111" s="89">
        <v>143796.21</v>
      </c>
      <c r="Q111" s="4">
        <v>44102</v>
      </c>
      <c r="R111" s="90" t="s">
        <v>148</v>
      </c>
      <c r="S111" s="90"/>
      <c r="T111" s="90"/>
      <c r="U111" s="90"/>
      <c r="V111" s="33" t="s">
        <v>87</v>
      </c>
      <c r="W111" s="33" t="s">
        <v>22</v>
      </c>
      <c r="X111" s="53" t="s">
        <v>140</v>
      </c>
    </row>
    <row r="112" spans="1:24" x14ac:dyDescent="0.2">
      <c r="A112" s="2" t="s">
        <v>811</v>
      </c>
      <c r="B112" s="138" t="s">
        <v>812</v>
      </c>
      <c r="C112" s="4" t="s">
        <v>73</v>
      </c>
      <c r="D112" s="44" t="s">
        <v>73</v>
      </c>
      <c r="E112" s="3" t="s">
        <v>86</v>
      </c>
      <c r="F112" s="4" t="s">
        <v>86</v>
      </c>
      <c r="G112" s="4"/>
      <c r="H112" s="4"/>
      <c r="I112" s="4"/>
      <c r="J112" s="4"/>
      <c r="K112" s="4" t="s">
        <v>86</v>
      </c>
      <c r="L112" s="33" t="s">
        <v>86</v>
      </c>
      <c r="M112" s="31">
        <v>230471</v>
      </c>
      <c r="N112" s="32">
        <v>1</v>
      </c>
      <c r="O112" s="50" t="s">
        <v>813</v>
      </c>
      <c r="P112" s="89">
        <v>230471</v>
      </c>
      <c r="Q112" s="4">
        <v>44102</v>
      </c>
      <c r="R112" s="90" t="s">
        <v>308</v>
      </c>
      <c r="S112" s="90"/>
      <c r="T112" s="90"/>
      <c r="U112" s="90"/>
      <c r="V112" s="33" t="s">
        <v>87</v>
      </c>
      <c r="W112" s="33" t="s">
        <v>22</v>
      </c>
      <c r="X112" s="53" t="s">
        <v>814</v>
      </c>
    </row>
    <row r="113" spans="1:25" x14ac:dyDescent="0.2">
      <c r="A113" s="2" t="s">
        <v>815</v>
      </c>
      <c r="B113" s="138" t="s">
        <v>816</v>
      </c>
      <c r="C113" s="4" t="s">
        <v>73</v>
      </c>
      <c r="D113" s="44" t="s">
        <v>73</v>
      </c>
      <c r="E113" s="3" t="s">
        <v>86</v>
      </c>
      <c r="F113" s="4" t="s">
        <v>86</v>
      </c>
      <c r="G113" s="4"/>
      <c r="H113" s="4"/>
      <c r="I113" s="4"/>
      <c r="J113" s="4"/>
      <c r="K113" s="4" t="s">
        <v>86</v>
      </c>
      <c r="L113" s="33" t="s">
        <v>86</v>
      </c>
      <c r="M113" s="31">
        <v>82763.649999999994</v>
      </c>
      <c r="N113" s="32">
        <v>1</v>
      </c>
      <c r="O113" s="50" t="s">
        <v>817</v>
      </c>
      <c r="P113" s="89">
        <v>82763.649999999994</v>
      </c>
      <c r="Q113" s="4">
        <v>44102</v>
      </c>
      <c r="R113" s="90" t="s">
        <v>818</v>
      </c>
      <c r="S113" s="90"/>
      <c r="T113" s="90"/>
      <c r="U113" s="90"/>
      <c r="V113" s="33" t="s">
        <v>87</v>
      </c>
      <c r="W113" s="33" t="s">
        <v>22</v>
      </c>
      <c r="X113" s="53" t="s">
        <v>819</v>
      </c>
    </row>
    <row r="114" spans="1:25" ht="23.25" thickBot="1" x14ac:dyDescent="0.25">
      <c r="A114" s="7" t="s">
        <v>820</v>
      </c>
      <c r="B114" s="142" t="s">
        <v>821</v>
      </c>
      <c r="C114" s="8" t="s">
        <v>73</v>
      </c>
      <c r="D114" s="143" t="s">
        <v>73</v>
      </c>
      <c r="E114" s="9" t="s">
        <v>86</v>
      </c>
      <c r="F114" s="8" t="s">
        <v>86</v>
      </c>
      <c r="G114" s="8"/>
      <c r="H114" s="8"/>
      <c r="I114" s="8"/>
      <c r="J114" s="8"/>
      <c r="K114" s="8" t="s">
        <v>86</v>
      </c>
      <c r="L114" s="144" t="s">
        <v>86</v>
      </c>
      <c r="M114" s="145">
        <v>588164</v>
      </c>
      <c r="N114" s="146">
        <v>1</v>
      </c>
      <c r="O114" s="152" t="s">
        <v>822</v>
      </c>
      <c r="P114" s="147">
        <v>588164</v>
      </c>
      <c r="Q114" s="8">
        <v>44102</v>
      </c>
      <c r="R114" s="148" t="s">
        <v>823</v>
      </c>
      <c r="S114" s="148"/>
      <c r="T114" s="148"/>
      <c r="U114" s="148"/>
      <c r="V114" s="144" t="s">
        <v>87</v>
      </c>
      <c r="W114" s="144" t="s">
        <v>22</v>
      </c>
      <c r="X114" s="149" t="s">
        <v>88</v>
      </c>
    </row>
    <row r="115" spans="1:25" x14ac:dyDescent="0.2">
      <c r="A115" s="45"/>
      <c r="B115" s="16"/>
      <c r="C115" s="99"/>
      <c r="D115" s="45"/>
      <c r="E115" s="6"/>
      <c r="F115" s="99"/>
      <c r="G115" s="99"/>
      <c r="H115" s="99"/>
      <c r="I115" s="99"/>
      <c r="J115" s="99"/>
      <c r="K115" s="99"/>
      <c r="L115" s="27"/>
      <c r="M115" s="27"/>
      <c r="N115" s="27"/>
      <c r="O115" s="99"/>
      <c r="P115" s="100"/>
      <c r="Q115" s="99"/>
      <c r="R115" s="101"/>
      <c r="S115" s="101"/>
      <c r="T115" s="101"/>
      <c r="U115" s="101"/>
      <c r="V115" s="27"/>
      <c r="W115" s="27"/>
      <c r="X115" s="23"/>
    </row>
    <row r="116" spans="1:25" x14ac:dyDescent="0.2">
      <c r="A116" s="10" t="s">
        <v>8</v>
      </c>
      <c r="B116" s="14" t="s">
        <v>8</v>
      </c>
      <c r="C116" s="1" t="s">
        <v>8</v>
      </c>
      <c r="L116" s="28" t="s">
        <v>25</v>
      </c>
      <c r="M116" s="29">
        <f>SUM(M16:M114)</f>
        <v>195906769.43999997</v>
      </c>
      <c r="N116" s="1"/>
      <c r="O116" s="24" t="s">
        <v>46</v>
      </c>
      <c r="P116" s="25">
        <f>SUM(P15:P114)</f>
        <v>53174682.879999995</v>
      </c>
      <c r="Q116" s="6"/>
      <c r="R116" s="12"/>
      <c r="S116" s="12"/>
      <c r="T116" s="12"/>
      <c r="U116" s="12"/>
      <c r="V116" s="26"/>
      <c r="W116" s="26"/>
    </row>
    <row r="117" spans="1:25" ht="12.75" x14ac:dyDescent="0.2">
      <c r="A117" s="38" t="s">
        <v>62</v>
      </c>
      <c r="B117" s="14"/>
      <c r="N117" s="1"/>
      <c r="O117" s="11"/>
      <c r="P117" s="71" t="s">
        <v>68</v>
      </c>
      <c r="Q117" s="71" t="s">
        <v>69</v>
      </c>
      <c r="R117" s="12"/>
      <c r="S117" s="12"/>
      <c r="T117" s="12"/>
      <c r="U117" s="12"/>
    </row>
    <row r="118" spans="1:25" x14ac:dyDescent="0.2">
      <c r="A118" s="10"/>
      <c r="B118" s="14"/>
      <c r="N118" s="1"/>
      <c r="O118" s="28" t="s">
        <v>22</v>
      </c>
      <c r="P118" s="30">
        <f>SUMIF(W16:W114,"GOODS",$P$16:$P$114)</f>
        <v>27424156.580000002</v>
      </c>
      <c r="Q118" s="73">
        <f>COUNTIFS(W15:W114,"GOODS",$P$15:$P$114,"&gt;=1")</f>
        <v>50</v>
      </c>
      <c r="R118" s="12"/>
      <c r="S118" s="12"/>
      <c r="T118" s="12"/>
      <c r="U118" s="12"/>
    </row>
    <row r="119" spans="1:25" x14ac:dyDescent="0.2">
      <c r="A119" s="10"/>
      <c r="B119" s="14"/>
      <c r="N119" s="1"/>
      <c r="O119" s="28" t="s">
        <v>23</v>
      </c>
      <c r="P119" s="30">
        <f>SUMIF(W16:W114,"SERVICES",$P$16:$P$114)</f>
        <v>1948326.17</v>
      </c>
      <c r="Q119" s="73">
        <f>COUNTIFS(W15:W114,"SERVICES",$P$15:$P$114,"&gt;=1")</f>
        <v>7</v>
      </c>
      <c r="R119" s="12"/>
      <c r="S119" s="12"/>
      <c r="T119" s="12"/>
      <c r="U119" s="12"/>
    </row>
    <row r="120" spans="1:25" x14ac:dyDescent="0.2">
      <c r="A120" s="10"/>
      <c r="B120" s="14"/>
      <c r="N120" s="1"/>
      <c r="O120" s="28" t="s">
        <v>24</v>
      </c>
      <c r="P120" s="70">
        <f>SUMIF(W16:W114,"CONSTRUCTION",$P$16:$P$114)</f>
        <v>23802200.130000003</v>
      </c>
      <c r="Q120" s="69">
        <f>COUNTIFS(W15:W114,"CONSTRUCTION",$P$15:$P$114,"&gt;=1")</f>
        <v>40</v>
      </c>
      <c r="R120" s="12"/>
      <c r="S120" s="12"/>
      <c r="T120" s="12"/>
      <c r="U120" s="12"/>
    </row>
    <row r="121" spans="1:25" x14ac:dyDescent="0.2">
      <c r="A121" s="10"/>
      <c r="B121" s="14"/>
      <c r="K121" s="11"/>
      <c r="O121" s="6"/>
      <c r="P121" s="75">
        <f>SUM(P118:P120)</f>
        <v>53174682.880000003</v>
      </c>
      <c r="Q121" s="76">
        <f>SUM(Q118:Q120)</f>
        <v>97</v>
      </c>
      <c r="R121" s="12"/>
      <c r="S121" s="12"/>
      <c r="T121" s="12"/>
      <c r="U121" s="12"/>
    </row>
    <row r="122" spans="1:25" ht="15.75" x14ac:dyDescent="0.25">
      <c r="A122" s="88" t="s">
        <v>32</v>
      </c>
      <c r="B122" s="88"/>
      <c r="L122" s="1"/>
      <c r="M122" s="1"/>
      <c r="O122" s="6"/>
      <c r="Q122" s="6"/>
      <c r="R122" s="12"/>
      <c r="S122" s="12"/>
      <c r="T122" s="12"/>
      <c r="U122" s="12"/>
    </row>
    <row r="123" spans="1:25" ht="15.75" x14ac:dyDescent="0.25">
      <c r="A123" s="88" t="s">
        <v>242</v>
      </c>
      <c r="B123" s="88"/>
      <c r="C123" s="88"/>
      <c r="D123" s="102"/>
      <c r="L123" s="1"/>
      <c r="M123" s="1"/>
      <c r="N123" s="1"/>
      <c r="P123" s="14"/>
      <c r="Q123" s="6"/>
      <c r="R123" s="6"/>
      <c r="S123" s="6"/>
      <c r="T123" s="12"/>
      <c r="U123" s="12"/>
      <c r="V123" s="12"/>
      <c r="Y123" s="14"/>
    </row>
    <row r="124" spans="1:25" ht="12" thickBot="1" x14ac:dyDescent="0.25">
      <c r="T124" s="14"/>
      <c r="U124" s="14"/>
      <c r="V124" s="23"/>
      <c r="W124" s="1"/>
      <c r="X124" s="1"/>
    </row>
    <row r="125" spans="1:25" ht="11.85" customHeight="1" x14ac:dyDescent="0.2">
      <c r="A125" s="17"/>
      <c r="B125" s="17"/>
      <c r="C125" s="17"/>
      <c r="D125" s="41"/>
      <c r="E125" s="17"/>
      <c r="F125" s="17"/>
      <c r="G125" s="17"/>
      <c r="H125" s="17"/>
      <c r="I125" s="17"/>
      <c r="J125" s="17"/>
      <c r="K125" s="18" t="s">
        <v>10</v>
      </c>
      <c r="L125" s="18"/>
      <c r="M125" s="18" t="s">
        <v>53</v>
      </c>
      <c r="N125" s="18" t="s">
        <v>47</v>
      </c>
      <c r="O125" s="17"/>
      <c r="P125" s="17"/>
      <c r="Q125" s="210"/>
      <c r="R125" s="211"/>
      <c r="S125" s="132"/>
      <c r="T125" s="18"/>
      <c r="U125" s="18"/>
      <c r="V125" s="210"/>
      <c r="W125" s="211"/>
      <c r="X125" s="1"/>
    </row>
    <row r="126" spans="1:25" ht="11.85" customHeight="1" x14ac:dyDescent="0.2">
      <c r="A126" s="19" t="s">
        <v>0</v>
      </c>
      <c r="B126" s="19" t="s">
        <v>1</v>
      </c>
      <c r="C126" s="19" t="s">
        <v>0</v>
      </c>
      <c r="D126" s="42" t="s">
        <v>39</v>
      </c>
      <c r="E126" s="19" t="s">
        <v>2</v>
      </c>
      <c r="F126" s="19" t="s">
        <v>0</v>
      </c>
      <c r="G126" s="19" t="s">
        <v>41</v>
      </c>
      <c r="H126" s="19" t="s">
        <v>41</v>
      </c>
      <c r="I126" s="19" t="s">
        <v>41</v>
      </c>
      <c r="J126" s="19" t="s">
        <v>41</v>
      </c>
      <c r="K126" s="19" t="s">
        <v>3</v>
      </c>
      <c r="L126" s="19" t="s">
        <v>51</v>
      </c>
      <c r="M126" s="19" t="s">
        <v>54</v>
      </c>
      <c r="N126" s="19" t="s">
        <v>50</v>
      </c>
      <c r="O126" s="19" t="s">
        <v>4</v>
      </c>
      <c r="P126" s="19" t="s">
        <v>4</v>
      </c>
      <c r="Q126" s="212" t="s">
        <v>14</v>
      </c>
      <c r="R126" s="213"/>
      <c r="S126" s="133" t="s">
        <v>15</v>
      </c>
      <c r="T126" s="19" t="s">
        <v>21</v>
      </c>
      <c r="U126" s="19" t="s">
        <v>26</v>
      </c>
      <c r="V126" s="212" t="s">
        <v>65</v>
      </c>
      <c r="W126" s="213"/>
      <c r="X126" s="1"/>
    </row>
    <row r="127" spans="1:25" ht="11.85" customHeight="1" x14ac:dyDescent="0.2">
      <c r="A127" s="19" t="s">
        <v>5</v>
      </c>
      <c r="B127" s="19"/>
      <c r="C127" s="19" t="s">
        <v>39</v>
      </c>
      <c r="D127" s="42" t="s">
        <v>40</v>
      </c>
      <c r="E127" s="19" t="s">
        <v>7</v>
      </c>
      <c r="F127" s="19" t="s">
        <v>64</v>
      </c>
      <c r="G127" s="19" t="s">
        <v>42</v>
      </c>
      <c r="H127" s="19" t="s">
        <v>43</v>
      </c>
      <c r="I127" s="19" t="s">
        <v>44</v>
      </c>
      <c r="J127" s="19" t="s">
        <v>45</v>
      </c>
      <c r="K127" s="19" t="s">
        <v>6</v>
      </c>
      <c r="L127" s="19" t="s">
        <v>36</v>
      </c>
      <c r="M127" s="19" t="s">
        <v>13</v>
      </c>
      <c r="N127" s="19" t="s">
        <v>13</v>
      </c>
      <c r="O127" s="19" t="s">
        <v>9</v>
      </c>
      <c r="P127" s="19" t="s">
        <v>6</v>
      </c>
      <c r="Q127" s="212"/>
      <c r="R127" s="213"/>
      <c r="S127" s="133"/>
      <c r="T127" s="19" t="s">
        <v>28</v>
      </c>
      <c r="U127" s="19" t="s">
        <v>27</v>
      </c>
      <c r="V127" s="212"/>
      <c r="W127" s="213"/>
      <c r="X127" s="1"/>
    </row>
    <row r="128" spans="1:25" ht="2.25" customHeight="1" thickBot="1" x14ac:dyDescent="0.25">
      <c r="A128" s="21"/>
      <c r="B128" s="20"/>
      <c r="C128" s="22"/>
      <c r="D128" s="43"/>
      <c r="E128" s="20"/>
      <c r="F128" s="22"/>
      <c r="G128" s="22"/>
      <c r="H128" s="22"/>
      <c r="I128" s="22"/>
      <c r="J128" s="22"/>
      <c r="K128" s="20"/>
      <c r="L128" s="20"/>
      <c r="M128" s="20"/>
      <c r="N128" s="20"/>
      <c r="O128" s="20"/>
      <c r="P128" s="20"/>
      <c r="Q128" s="214"/>
      <c r="R128" s="215"/>
      <c r="S128" s="134"/>
      <c r="T128" s="20"/>
      <c r="U128" s="20"/>
      <c r="V128" s="214"/>
      <c r="W128" s="215"/>
      <c r="X128" s="1"/>
    </row>
    <row r="129" spans="1:32" x14ac:dyDescent="0.2">
      <c r="A129" s="2" t="s">
        <v>824</v>
      </c>
      <c r="B129" s="93" t="s">
        <v>825</v>
      </c>
      <c r="C129" s="4" t="s">
        <v>73</v>
      </c>
      <c r="D129" s="2" t="s">
        <v>73</v>
      </c>
      <c r="E129" s="4" t="s">
        <v>86</v>
      </c>
      <c r="F129" s="49" t="s">
        <v>826</v>
      </c>
      <c r="G129" s="4"/>
      <c r="H129" s="4"/>
      <c r="I129" s="4"/>
      <c r="J129" s="4"/>
      <c r="K129" s="4">
        <v>43770</v>
      </c>
      <c r="L129" s="5" t="s">
        <v>86</v>
      </c>
      <c r="M129" s="67">
        <v>50000</v>
      </c>
      <c r="N129" s="65">
        <v>1</v>
      </c>
      <c r="O129" s="58">
        <v>50000</v>
      </c>
      <c r="P129" s="4">
        <v>43784</v>
      </c>
      <c r="Q129" s="216" t="s">
        <v>827</v>
      </c>
      <c r="R129" s="217"/>
      <c r="S129" s="135"/>
      <c r="T129" s="63" t="s">
        <v>87</v>
      </c>
      <c r="U129" s="63" t="s">
        <v>23</v>
      </c>
      <c r="V129" s="218"/>
      <c r="W129" s="219"/>
      <c r="X129" s="1"/>
      <c r="Y129" s="6"/>
      <c r="Z129" s="12"/>
      <c r="AA129" s="12"/>
      <c r="AB129" s="12"/>
      <c r="AC129" s="14"/>
      <c r="AD129" s="14"/>
      <c r="AE129" s="14"/>
    </row>
    <row r="130" spans="1:32" ht="22.5" x14ac:dyDescent="0.2">
      <c r="A130" s="2" t="s">
        <v>828</v>
      </c>
      <c r="B130" s="93" t="s">
        <v>829</v>
      </c>
      <c r="C130" s="4" t="s">
        <v>73</v>
      </c>
      <c r="D130" s="2" t="s">
        <v>73</v>
      </c>
      <c r="E130" s="4" t="s">
        <v>86</v>
      </c>
      <c r="F130" s="5" t="s">
        <v>86</v>
      </c>
      <c r="G130" s="47"/>
      <c r="H130" s="4"/>
      <c r="I130" s="4"/>
      <c r="J130" s="4"/>
      <c r="K130" s="5" t="s">
        <v>86</v>
      </c>
      <c r="L130" s="5" t="s">
        <v>86</v>
      </c>
      <c r="M130" s="79">
        <v>38320</v>
      </c>
      <c r="N130" s="65">
        <v>1</v>
      </c>
      <c r="O130" s="59">
        <v>38320</v>
      </c>
      <c r="P130" s="4">
        <v>43766</v>
      </c>
      <c r="Q130" s="216" t="s">
        <v>326</v>
      </c>
      <c r="R130" s="217"/>
      <c r="S130" s="135"/>
      <c r="T130" s="63" t="s">
        <v>87</v>
      </c>
      <c r="U130" s="63" t="s">
        <v>22</v>
      </c>
      <c r="V130" s="220" t="s">
        <v>830</v>
      </c>
      <c r="W130" s="221"/>
      <c r="X130" s="1"/>
      <c r="Y130" s="6"/>
      <c r="Z130" s="12"/>
      <c r="AA130" s="12"/>
      <c r="AB130" s="12"/>
      <c r="AC130" s="14"/>
      <c r="AD130" s="14"/>
      <c r="AE130" s="14"/>
    </row>
    <row r="131" spans="1:32" x14ac:dyDescent="0.2">
      <c r="A131" s="2" t="s">
        <v>831</v>
      </c>
      <c r="B131" s="93" t="s">
        <v>832</v>
      </c>
      <c r="C131" s="4" t="s">
        <v>73</v>
      </c>
      <c r="D131" s="2" t="s">
        <v>73</v>
      </c>
      <c r="E131" s="4" t="s">
        <v>86</v>
      </c>
      <c r="F131" s="49" t="s">
        <v>833</v>
      </c>
      <c r="G131" s="4"/>
      <c r="H131" s="4"/>
      <c r="I131" s="4"/>
      <c r="J131" s="4"/>
      <c r="K131" s="4">
        <v>43886</v>
      </c>
      <c r="L131" s="49" t="s">
        <v>834</v>
      </c>
      <c r="M131" s="67">
        <f>40000*N131</f>
        <v>160000</v>
      </c>
      <c r="N131" s="65">
        <v>4</v>
      </c>
      <c r="O131" s="59"/>
      <c r="P131" s="4"/>
      <c r="Q131" s="216"/>
      <c r="R131" s="217"/>
      <c r="S131" s="135"/>
      <c r="T131" s="63" t="s">
        <v>72</v>
      </c>
      <c r="U131" s="63" t="s">
        <v>23</v>
      </c>
      <c r="V131" s="220"/>
      <c r="W131" s="221"/>
      <c r="X131" s="1"/>
      <c r="Y131" s="6"/>
      <c r="Z131" s="12"/>
      <c r="AA131" s="12"/>
      <c r="AB131" s="12"/>
      <c r="AC131" s="14"/>
      <c r="AD131" s="14"/>
      <c r="AE131" s="14"/>
    </row>
    <row r="132" spans="1:32" x14ac:dyDescent="0.2">
      <c r="A132" s="2" t="s">
        <v>835</v>
      </c>
      <c r="B132" s="93" t="s">
        <v>836</v>
      </c>
      <c r="C132" s="3" t="s">
        <v>73</v>
      </c>
      <c r="D132" s="45" t="s">
        <v>73</v>
      </c>
      <c r="E132" s="4" t="s">
        <v>86</v>
      </c>
      <c r="F132" s="49" t="s">
        <v>837</v>
      </c>
      <c r="G132" s="4"/>
      <c r="H132" s="4"/>
      <c r="I132" s="4"/>
      <c r="J132" s="4"/>
      <c r="K132" s="4">
        <v>43903</v>
      </c>
      <c r="L132" s="49" t="s">
        <v>838</v>
      </c>
      <c r="M132" s="67">
        <v>31500.62</v>
      </c>
      <c r="N132" s="65">
        <v>1</v>
      </c>
      <c r="O132" s="59"/>
      <c r="P132" s="4"/>
      <c r="Q132" s="216"/>
      <c r="R132" s="217"/>
      <c r="S132" s="135"/>
      <c r="T132" s="63" t="s">
        <v>87</v>
      </c>
      <c r="U132" s="63" t="s">
        <v>24</v>
      </c>
      <c r="V132" s="220"/>
      <c r="W132" s="221"/>
      <c r="X132" s="1"/>
      <c r="Y132" s="6"/>
      <c r="Z132" s="12"/>
      <c r="AA132" s="12"/>
      <c r="AB132" s="12"/>
      <c r="AC132" s="14"/>
      <c r="AD132" s="14"/>
      <c r="AE132" s="14"/>
    </row>
    <row r="133" spans="1:32" x14ac:dyDescent="0.2">
      <c r="A133" s="2" t="s">
        <v>839</v>
      </c>
      <c r="B133" s="93" t="s">
        <v>840</v>
      </c>
      <c r="C133" s="3" t="s">
        <v>73</v>
      </c>
      <c r="D133" s="45" t="s">
        <v>73</v>
      </c>
      <c r="E133" s="4" t="s">
        <v>86</v>
      </c>
      <c r="F133" s="49" t="s">
        <v>841</v>
      </c>
      <c r="G133" s="47"/>
      <c r="H133" s="4"/>
      <c r="I133" s="4"/>
      <c r="J133" s="4"/>
      <c r="K133" s="4">
        <v>43908</v>
      </c>
      <c r="L133" s="49" t="s">
        <v>842</v>
      </c>
      <c r="M133" s="67">
        <f>20000*N133</f>
        <v>20000</v>
      </c>
      <c r="N133" s="65">
        <v>1</v>
      </c>
      <c r="O133" s="59">
        <v>20000</v>
      </c>
      <c r="P133" s="4">
        <v>43909</v>
      </c>
      <c r="Q133" s="216" t="s">
        <v>551</v>
      </c>
      <c r="R133" s="217"/>
      <c r="S133" s="135"/>
      <c r="T133" s="63" t="s">
        <v>72</v>
      </c>
      <c r="U133" s="63" t="s">
        <v>23</v>
      </c>
      <c r="V133" s="220"/>
      <c r="W133" s="221"/>
      <c r="X133" s="1"/>
      <c r="Y133" s="6"/>
      <c r="Z133" s="12"/>
      <c r="AA133" s="12"/>
      <c r="AB133" s="12"/>
      <c r="AC133" s="14"/>
      <c r="AD133" s="14"/>
      <c r="AE133" s="14"/>
    </row>
    <row r="134" spans="1:32" x14ac:dyDescent="0.2">
      <c r="A134" s="2" t="s">
        <v>843</v>
      </c>
      <c r="B134" s="93" t="s">
        <v>844</v>
      </c>
      <c r="C134" s="3" t="s">
        <v>73</v>
      </c>
      <c r="D134" s="45" t="s">
        <v>73</v>
      </c>
      <c r="E134" s="4" t="s">
        <v>86</v>
      </c>
      <c r="F134" s="47" t="s">
        <v>845</v>
      </c>
      <c r="G134" s="47" t="s">
        <v>846</v>
      </c>
      <c r="H134" s="4"/>
      <c r="I134" s="4"/>
      <c r="J134" s="4"/>
      <c r="K134" s="4">
        <v>43979</v>
      </c>
      <c r="L134" s="49" t="s">
        <v>847</v>
      </c>
      <c r="M134" s="67">
        <f>49000*N134</f>
        <v>49000</v>
      </c>
      <c r="N134" s="65">
        <v>1</v>
      </c>
      <c r="O134" s="59"/>
      <c r="P134" s="4"/>
      <c r="Q134" s="216"/>
      <c r="R134" s="217"/>
      <c r="S134" s="135"/>
      <c r="T134" s="63" t="s">
        <v>72</v>
      </c>
      <c r="U134" s="63" t="s">
        <v>23</v>
      </c>
      <c r="V134" s="220"/>
      <c r="W134" s="221"/>
      <c r="X134" s="1"/>
      <c r="Y134" s="6"/>
      <c r="Z134" s="12"/>
      <c r="AA134" s="12"/>
      <c r="AB134" s="12"/>
      <c r="AC134" s="14"/>
      <c r="AD134" s="14"/>
      <c r="AE134" s="14"/>
    </row>
    <row r="135" spans="1:32" ht="22.5" x14ac:dyDescent="0.2">
      <c r="A135" s="2" t="s">
        <v>848</v>
      </c>
      <c r="B135" s="93" t="s">
        <v>849</v>
      </c>
      <c r="C135" s="3" t="s">
        <v>73</v>
      </c>
      <c r="D135" s="45" t="s">
        <v>73</v>
      </c>
      <c r="E135" s="4" t="s">
        <v>86</v>
      </c>
      <c r="F135" s="49" t="s">
        <v>850</v>
      </c>
      <c r="G135" s="4"/>
      <c r="H135" s="4"/>
      <c r="I135" s="4"/>
      <c r="J135" s="4"/>
      <c r="K135" s="4">
        <v>43980</v>
      </c>
      <c r="L135" s="50" t="s">
        <v>851</v>
      </c>
      <c r="M135" s="67">
        <f>26539+27477</f>
        <v>54016</v>
      </c>
      <c r="N135" s="65">
        <v>2</v>
      </c>
      <c r="O135" s="59"/>
      <c r="P135" s="4"/>
      <c r="Q135" s="216"/>
      <c r="R135" s="217"/>
      <c r="S135" s="135"/>
      <c r="T135" s="63" t="s">
        <v>72</v>
      </c>
      <c r="U135" s="63" t="s">
        <v>24</v>
      </c>
      <c r="V135" s="220"/>
      <c r="W135" s="221"/>
      <c r="X135" s="1"/>
      <c r="Y135" s="6"/>
      <c r="Z135" s="12"/>
      <c r="AA135" s="12"/>
      <c r="AB135" s="12"/>
      <c r="AC135" s="14"/>
      <c r="AD135" s="14"/>
      <c r="AE135" s="14"/>
    </row>
    <row r="136" spans="1:32" x14ac:dyDescent="0.2">
      <c r="A136" s="2" t="s">
        <v>852</v>
      </c>
      <c r="B136" s="93" t="s">
        <v>853</v>
      </c>
      <c r="C136" s="3" t="s">
        <v>73</v>
      </c>
      <c r="D136" s="45" t="s">
        <v>73</v>
      </c>
      <c r="E136" s="4" t="s">
        <v>86</v>
      </c>
      <c r="F136" s="50" t="s">
        <v>854</v>
      </c>
      <c r="G136" s="50" t="s">
        <v>855</v>
      </c>
      <c r="H136" s="50" t="s">
        <v>856</v>
      </c>
      <c r="I136" s="5"/>
      <c r="J136" s="5"/>
      <c r="K136" s="5">
        <v>44000</v>
      </c>
      <c r="L136" s="50" t="s">
        <v>857</v>
      </c>
      <c r="M136" s="67">
        <f>35000*N136</f>
        <v>140000</v>
      </c>
      <c r="N136" s="65">
        <v>4</v>
      </c>
      <c r="O136" s="59"/>
      <c r="P136" s="4"/>
      <c r="Q136" s="216"/>
      <c r="R136" s="217"/>
      <c r="S136" s="135"/>
      <c r="T136" s="63" t="s">
        <v>72</v>
      </c>
      <c r="U136" s="63" t="s">
        <v>23</v>
      </c>
      <c r="V136" s="220"/>
      <c r="W136" s="221"/>
      <c r="X136" s="1"/>
      <c r="Y136" s="6"/>
      <c r="Z136" s="12"/>
      <c r="AA136" s="12"/>
      <c r="AB136" s="12"/>
      <c r="AC136" s="14"/>
      <c r="AD136" s="14"/>
      <c r="AE136" s="14"/>
    </row>
    <row r="137" spans="1:32" ht="12" thickBot="1" x14ac:dyDescent="0.25">
      <c r="A137" s="7" t="s">
        <v>858</v>
      </c>
      <c r="B137" s="115" t="s">
        <v>859</v>
      </c>
      <c r="C137" s="9" t="s">
        <v>73</v>
      </c>
      <c r="D137" s="150" t="s">
        <v>73</v>
      </c>
      <c r="E137" s="8" t="s">
        <v>86</v>
      </c>
      <c r="F137" s="151" t="s">
        <v>860</v>
      </c>
      <c r="G137" s="152" t="s">
        <v>861</v>
      </c>
      <c r="H137" s="152" t="s">
        <v>862</v>
      </c>
      <c r="I137" s="8"/>
      <c r="J137" s="8"/>
      <c r="K137" s="8">
        <v>44111</v>
      </c>
      <c r="L137" s="152" t="s">
        <v>863</v>
      </c>
      <c r="M137" s="153"/>
      <c r="N137" s="154"/>
      <c r="O137" s="155"/>
      <c r="P137" s="8"/>
      <c r="Q137" s="224"/>
      <c r="R137" s="225"/>
      <c r="S137" s="136"/>
      <c r="T137" s="156" t="s">
        <v>72</v>
      </c>
      <c r="U137" s="156" t="s">
        <v>23</v>
      </c>
      <c r="V137" s="226"/>
      <c r="W137" s="227"/>
      <c r="X137" s="1"/>
      <c r="Y137" s="6"/>
      <c r="Z137" s="12"/>
      <c r="AA137" s="12"/>
      <c r="AB137" s="12"/>
      <c r="AC137" s="14"/>
      <c r="AD137" s="14"/>
      <c r="AE137" s="14"/>
    </row>
    <row r="138" spans="1:32" x14ac:dyDescent="0.2">
      <c r="A138" s="10"/>
      <c r="K138" s="11"/>
      <c r="L138" s="11"/>
      <c r="M138" s="1"/>
      <c r="N138" s="13"/>
      <c r="U138" s="14"/>
      <c r="V138" s="6"/>
      <c r="W138" s="1"/>
      <c r="X138" s="6"/>
      <c r="Y138" s="12"/>
      <c r="Z138" s="12"/>
      <c r="AA138" s="12"/>
      <c r="AB138" s="14"/>
      <c r="AC138" s="14"/>
      <c r="AD138" s="14"/>
    </row>
    <row r="139" spans="1:32" x14ac:dyDescent="0.2">
      <c r="A139" s="10"/>
      <c r="C139" s="11"/>
      <c r="E139" s="11"/>
      <c r="F139" s="11"/>
      <c r="G139" s="11"/>
      <c r="H139" s="11"/>
      <c r="I139" s="11"/>
      <c r="L139" s="28" t="s">
        <v>25</v>
      </c>
      <c r="M139" s="29">
        <f>SUM(M129:M137)</f>
        <v>542836.62</v>
      </c>
      <c r="N139" s="24" t="s">
        <v>46</v>
      </c>
      <c r="O139" s="25">
        <f>SUM(O129:O137)</f>
        <v>108320</v>
      </c>
      <c r="W139" s="6"/>
      <c r="X139" s="1"/>
      <c r="Y139" s="6"/>
      <c r="Z139" s="12"/>
      <c r="AA139" s="12"/>
      <c r="AB139" s="12"/>
      <c r="AC139" s="14"/>
      <c r="AD139" s="14"/>
      <c r="AE139" s="14"/>
    </row>
    <row r="140" spans="1:32" ht="12.75" x14ac:dyDescent="0.2">
      <c r="A140" s="38" t="s">
        <v>62</v>
      </c>
      <c r="K140" s="11"/>
      <c r="L140" s="11"/>
      <c r="M140" s="11"/>
      <c r="N140" s="11"/>
      <c r="O140" s="71" t="s">
        <v>68</v>
      </c>
      <c r="P140" s="71" t="s">
        <v>69</v>
      </c>
      <c r="W140" s="6"/>
      <c r="X140" s="1"/>
      <c r="Y140" s="6"/>
      <c r="Z140" s="12"/>
      <c r="AA140" s="12"/>
      <c r="AB140" s="12"/>
      <c r="AC140" s="14"/>
      <c r="AD140" s="14"/>
      <c r="AE140" s="14"/>
    </row>
    <row r="141" spans="1:32" x14ac:dyDescent="0.2">
      <c r="A141" s="10"/>
      <c r="L141" s="28"/>
      <c r="M141" s="28"/>
      <c r="N141" s="28" t="s">
        <v>22</v>
      </c>
      <c r="O141" s="30">
        <f>SUMIF(U128:U137,"GOODS",$O$128:$O$137)</f>
        <v>38320</v>
      </c>
      <c r="P141" s="73">
        <f>COUNTIFS(U128:U137,"GOODS",$O$128:$O$137,"&gt;=1")</f>
        <v>1</v>
      </c>
      <c r="W141" s="6"/>
      <c r="X141" s="1"/>
      <c r="Y141" s="6"/>
      <c r="Z141" s="12"/>
      <c r="AA141" s="12"/>
      <c r="AB141" s="12"/>
      <c r="AC141" s="14"/>
      <c r="AD141" s="14"/>
      <c r="AE141" s="14"/>
    </row>
    <row r="142" spans="1:32" x14ac:dyDescent="0.2">
      <c r="A142" s="10"/>
      <c r="L142" s="28"/>
      <c r="M142" s="28"/>
      <c r="N142" s="28" t="s">
        <v>23</v>
      </c>
      <c r="O142" s="30">
        <f>SUMIF(U128:U137,"SERVICES",$O$128:$O$137)</f>
        <v>70000</v>
      </c>
      <c r="P142" s="73">
        <f>COUNTIFS(U128:U137,"SERVICES",$O$128:$O$137,"&gt;=1")</f>
        <v>2</v>
      </c>
      <c r="V142" s="1"/>
      <c r="X142" s="6"/>
      <c r="Z142" s="6"/>
      <c r="AA142" s="12"/>
      <c r="AB142" s="12"/>
      <c r="AC142" s="12"/>
      <c r="AD142" s="14"/>
      <c r="AE142" s="14"/>
      <c r="AF142" s="14"/>
    </row>
    <row r="143" spans="1:32" x14ac:dyDescent="0.2">
      <c r="A143" s="10"/>
      <c r="L143" s="28"/>
      <c r="M143" s="28"/>
      <c r="N143" s="28" t="s">
        <v>24</v>
      </c>
      <c r="O143" s="30">
        <f>SUMIF(U128:U137,"CONSTRUCTION",$O$128:$O$137)</f>
        <v>0</v>
      </c>
      <c r="P143" s="73">
        <f>COUNTIFS(U128:U137,"CONSTRUCTION",$O$128:$O$137,"&gt;=1")</f>
        <v>0</v>
      </c>
      <c r="V143" s="1"/>
      <c r="X143" s="6"/>
      <c r="Z143" s="6"/>
      <c r="AA143" s="12"/>
      <c r="AB143" s="12"/>
      <c r="AC143" s="12"/>
      <c r="AD143" s="14"/>
      <c r="AE143" s="14"/>
      <c r="AF143" s="14"/>
    </row>
    <row r="144" spans="1:32" x14ac:dyDescent="0.2">
      <c r="A144" s="10"/>
      <c r="B144" s="14"/>
      <c r="C144" s="14"/>
      <c r="D144" s="46"/>
      <c r="L144" s="1"/>
      <c r="M144" s="1"/>
      <c r="N144" s="1"/>
      <c r="O144" s="74">
        <f>SUM(O141:O143)</f>
        <v>108320</v>
      </c>
      <c r="P144" s="72">
        <f>SUM(P141:P143)</f>
        <v>3</v>
      </c>
      <c r="U144" s="14"/>
      <c r="X144" s="6"/>
      <c r="Z144" s="6"/>
      <c r="AA144" s="12"/>
      <c r="AB144" s="12"/>
      <c r="AC144" s="12"/>
      <c r="AD144" s="14"/>
      <c r="AE144" s="14"/>
      <c r="AF144" s="14"/>
    </row>
    <row r="145" spans="1:29" ht="15.75" x14ac:dyDescent="0.25">
      <c r="A145" s="88" t="s">
        <v>31</v>
      </c>
      <c r="B145" s="88"/>
      <c r="L145" s="1"/>
      <c r="M145" s="1"/>
      <c r="N145" s="1"/>
      <c r="V145" s="1"/>
      <c r="W145" s="1"/>
      <c r="X145" s="1"/>
      <c r="Y145" s="12"/>
      <c r="Z145" s="12"/>
      <c r="AA145" s="14"/>
      <c r="AB145" s="14"/>
      <c r="AC145" s="14"/>
    </row>
    <row r="146" spans="1:29" ht="15.75" x14ac:dyDescent="0.25">
      <c r="A146" s="88" t="s">
        <v>242</v>
      </c>
      <c r="B146" s="88"/>
      <c r="L146" s="1"/>
      <c r="M146" s="1"/>
      <c r="N146" s="1"/>
      <c r="V146" s="1"/>
      <c r="W146" s="12"/>
      <c r="Y146" s="14"/>
      <c r="Z146" s="14"/>
    </row>
    <row r="147" spans="1:29" ht="12" thickBot="1" x14ac:dyDescent="0.25">
      <c r="M147" s="1"/>
      <c r="N147" s="1"/>
      <c r="S147" s="14"/>
      <c r="T147" s="14"/>
      <c r="U147" s="23"/>
      <c r="V147" s="1"/>
      <c r="W147" s="1"/>
      <c r="X147" s="1"/>
    </row>
    <row r="148" spans="1:29" ht="11.85" customHeight="1" x14ac:dyDescent="0.2">
      <c r="A148" s="17"/>
      <c r="B148" s="17"/>
      <c r="C148" s="17"/>
      <c r="D148" s="41"/>
      <c r="E148" s="17"/>
      <c r="F148" s="17"/>
      <c r="G148" s="17"/>
      <c r="H148" s="17"/>
      <c r="I148" s="17"/>
      <c r="J148" s="18"/>
      <c r="K148" s="18" t="s">
        <v>10</v>
      </c>
      <c r="L148" s="18" t="s">
        <v>47</v>
      </c>
      <c r="M148" s="18" t="s">
        <v>37</v>
      </c>
      <c r="N148" s="17"/>
      <c r="O148" s="17"/>
      <c r="P148" s="210"/>
      <c r="Q148" s="211"/>
      <c r="R148" s="18"/>
      <c r="S148" s="18"/>
      <c r="T148" s="18"/>
      <c r="U148" s="17"/>
      <c r="V148" s="1"/>
      <c r="W148" s="1"/>
      <c r="X148" s="1"/>
    </row>
    <row r="149" spans="1:29" ht="11.85" customHeight="1" x14ac:dyDescent="0.2">
      <c r="A149" s="19" t="s">
        <v>17</v>
      </c>
      <c r="B149" s="19" t="s">
        <v>1</v>
      </c>
      <c r="C149" s="19" t="s">
        <v>17</v>
      </c>
      <c r="D149" s="42" t="s">
        <v>39</v>
      </c>
      <c r="E149" s="19" t="s">
        <v>2</v>
      </c>
      <c r="F149" s="19" t="s">
        <v>17</v>
      </c>
      <c r="G149" s="19" t="s">
        <v>41</v>
      </c>
      <c r="H149" s="19" t="s">
        <v>41</v>
      </c>
      <c r="I149" s="19" t="s">
        <v>41</v>
      </c>
      <c r="J149" s="19" t="s">
        <v>41</v>
      </c>
      <c r="K149" s="19" t="s">
        <v>3</v>
      </c>
      <c r="L149" s="19" t="s">
        <v>49</v>
      </c>
      <c r="M149" s="19" t="s">
        <v>38</v>
      </c>
      <c r="N149" s="19" t="s">
        <v>4</v>
      </c>
      <c r="O149" s="19" t="s">
        <v>4</v>
      </c>
      <c r="P149" s="212" t="s">
        <v>14</v>
      </c>
      <c r="Q149" s="213"/>
      <c r="R149" s="19" t="s">
        <v>15</v>
      </c>
      <c r="S149" s="19" t="s">
        <v>21</v>
      </c>
      <c r="T149" s="19" t="s">
        <v>26</v>
      </c>
      <c r="U149" s="19" t="s">
        <v>65</v>
      </c>
      <c r="V149" s="1"/>
      <c r="W149" s="1"/>
      <c r="X149" s="1"/>
    </row>
    <row r="150" spans="1:29" ht="11.85" customHeight="1" x14ac:dyDescent="0.2">
      <c r="A150" s="19" t="s">
        <v>5</v>
      </c>
      <c r="B150" s="19"/>
      <c r="C150" s="19" t="s">
        <v>39</v>
      </c>
      <c r="D150" s="42" t="s">
        <v>40</v>
      </c>
      <c r="E150" s="19" t="s">
        <v>7</v>
      </c>
      <c r="F150" s="19" t="s">
        <v>64</v>
      </c>
      <c r="G150" s="19" t="s">
        <v>42</v>
      </c>
      <c r="H150" s="19" t="s">
        <v>43</v>
      </c>
      <c r="I150" s="19" t="s">
        <v>44</v>
      </c>
      <c r="J150" s="19" t="s">
        <v>45</v>
      </c>
      <c r="K150" s="19" t="s">
        <v>6</v>
      </c>
      <c r="L150" s="19" t="s">
        <v>13</v>
      </c>
      <c r="M150" s="19" t="s">
        <v>4</v>
      </c>
      <c r="N150" s="19" t="s">
        <v>9</v>
      </c>
      <c r="O150" s="19" t="s">
        <v>6</v>
      </c>
      <c r="P150" s="212"/>
      <c r="Q150" s="213"/>
      <c r="R150" s="19"/>
      <c r="S150" s="19" t="s">
        <v>28</v>
      </c>
      <c r="T150" s="19" t="s">
        <v>27</v>
      </c>
      <c r="U150" s="108"/>
      <c r="V150" s="1"/>
      <c r="W150" s="1"/>
      <c r="X150" s="1"/>
    </row>
    <row r="151" spans="1:29" ht="2.25" customHeight="1" thickBot="1" x14ac:dyDescent="0.25">
      <c r="A151" s="21"/>
      <c r="B151" s="20"/>
      <c r="C151" s="22"/>
      <c r="D151" s="43"/>
      <c r="E151" s="20"/>
      <c r="F151" s="22"/>
      <c r="G151" s="22"/>
      <c r="H151" s="22"/>
      <c r="I151" s="22"/>
      <c r="J151" s="22"/>
      <c r="K151" s="20"/>
      <c r="L151" s="20"/>
      <c r="M151" s="20"/>
      <c r="N151" s="20"/>
      <c r="O151" s="20"/>
      <c r="P151" s="214"/>
      <c r="Q151" s="215"/>
      <c r="R151" s="20"/>
      <c r="S151" s="20"/>
      <c r="T151" s="20"/>
      <c r="U151" s="20"/>
      <c r="V151" s="1"/>
      <c r="W151" s="1"/>
      <c r="X151" s="1"/>
    </row>
    <row r="152" spans="1:29" x14ac:dyDescent="0.2">
      <c r="A152" s="3" t="s">
        <v>864</v>
      </c>
      <c r="B152" s="93" t="s">
        <v>865</v>
      </c>
      <c r="C152" s="5" t="s">
        <v>73</v>
      </c>
      <c r="D152" s="44" t="s">
        <v>73</v>
      </c>
      <c r="E152" s="5" t="s">
        <v>86</v>
      </c>
      <c r="F152" s="49" t="s">
        <v>866</v>
      </c>
      <c r="G152" s="49"/>
      <c r="H152" s="5"/>
      <c r="I152" s="5"/>
      <c r="J152" s="5"/>
      <c r="K152" s="5">
        <v>43893</v>
      </c>
      <c r="L152" s="3">
        <v>1</v>
      </c>
      <c r="M152" s="44" t="s">
        <v>73</v>
      </c>
      <c r="N152" s="56">
        <v>44500</v>
      </c>
      <c r="O152" s="4">
        <v>43956</v>
      </c>
      <c r="P152" s="228" t="s">
        <v>867</v>
      </c>
      <c r="Q152" s="229"/>
      <c r="R152" s="109"/>
      <c r="S152" s="110" t="s">
        <v>72</v>
      </c>
      <c r="T152" s="110" t="s">
        <v>22</v>
      </c>
      <c r="U152" s="111"/>
      <c r="V152" s="1"/>
      <c r="W152" s="1"/>
      <c r="X152" s="1"/>
    </row>
    <row r="153" spans="1:29" x14ac:dyDescent="0.2">
      <c r="A153" s="112" t="s">
        <v>868</v>
      </c>
      <c r="B153" s="93" t="s">
        <v>869</v>
      </c>
      <c r="C153" s="5" t="s">
        <v>73</v>
      </c>
      <c r="D153" s="44" t="s">
        <v>73</v>
      </c>
      <c r="E153" s="5" t="s">
        <v>870</v>
      </c>
      <c r="F153" s="49" t="s">
        <v>871</v>
      </c>
      <c r="G153" s="49" t="s">
        <v>872</v>
      </c>
      <c r="H153" s="49" t="s">
        <v>873</v>
      </c>
      <c r="I153" s="5"/>
      <c r="J153" s="5"/>
      <c r="K153" s="5">
        <v>43929</v>
      </c>
      <c r="L153" s="3">
        <v>4</v>
      </c>
      <c r="M153" s="49" t="s">
        <v>874</v>
      </c>
      <c r="N153" s="58" t="s">
        <v>73</v>
      </c>
      <c r="O153" s="4">
        <v>43955</v>
      </c>
      <c r="P153" s="222" t="s">
        <v>875</v>
      </c>
      <c r="Q153" s="223"/>
      <c r="R153" s="91"/>
      <c r="S153" s="110" t="s">
        <v>72</v>
      </c>
      <c r="T153" s="110" t="s">
        <v>23</v>
      </c>
      <c r="U153" s="113"/>
      <c r="V153" s="1"/>
      <c r="W153" s="1"/>
      <c r="X153" s="1"/>
    </row>
    <row r="154" spans="1:29" ht="23.25" thickBot="1" x14ac:dyDescent="0.25">
      <c r="A154" s="9" t="s">
        <v>876</v>
      </c>
      <c r="B154" s="115" t="s">
        <v>877</v>
      </c>
      <c r="C154" s="117" t="s">
        <v>73</v>
      </c>
      <c r="D154" s="143" t="s">
        <v>73</v>
      </c>
      <c r="E154" s="117" t="s">
        <v>878</v>
      </c>
      <c r="F154" s="152" t="s">
        <v>879</v>
      </c>
      <c r="G154" s="151" t="s">
        <v>880</v>
      </c>
      <c r="H154" s="151" t="s">
        <v>881</v>
      </c>
      <c r="I154" s="117"/>
      <c r="J154" s="117"/>
      <c r="K154" s="117">
        <v>44084</v>
      </c>
      <c r="L154" s="9">
        <v>20</v>
      </c>
      <c r="M154" s="9"/>
      <c r="N154" s="60"/>
      <c r="O154" s="8"/>
      <c r="P154" s="230"/>
      <c r="Q154" s="231"/>
      <c r="R154" s="62"/>
      <c r="S154" s="118" t="s">
        <v>72</v>
      </c>
      <c r="T154" s="118" t="s">
        <v>23</v>
      </c>
      <c r="U154" s="119"/>
      <c r="V154" s="1"/>
      <c r="W154" s="1"/>
      <c r="X154" s="1"/>
    </row>
    <row r="155" spans="1:29" x14ac:dyDescent="0.2">
      <c r="L155" s="1"/>
      <c r="M155" s="1"/>
      <c r="N155" s="1"/>
      <c r="V155" s="1"/>
      <c r="W155" s="1"/>
      <c r="X155" s="1"/>
    </row>
    <row r="156" spans="1:29" x14ac:dyDescent="0.2">
      <c r="K156" s="28" t="s">
        <v>35</v>
      </c>
      <c r="L156" s="1"/>
      <c r="M156" s="24" t="s">
        <v>46</v>
      </c>
      <c r="N156" s="25">
        <f>SUM(N152:N154)</f>
        <v>44500</v>
      </c>
      <c r="V156" s="1"/>
      <c r="W156" s="1"/>
      <c r="X156" s="1"/>
    </row>
    <row r="157" spans="1:29" ht="12.75" x14ac:dyDescent="0.2">
      <c r="A157" s="37" t="s">
        <v>62</v>
      </c>
      <c r="K157" s="11"/>
      <c r="L157" s="1"/>
      <c r="M157" s="1"/>
      <c r="N157" s="71" t="s">
        <v>68</v>
      </c>
      <c r="O157" s="71" t="s">
        <v>69</v>
      </c>
      <c r="V157" s="1"/>
      <c r="W157" s="1"/>
      <c r="X157" s="1"/>
    </row>
    <row r="158" spans="1:29" x14ac:dyDescent="0.2">
      <c r="K158" s="28"/>
      <c r="L158" s="1"/>
      <c r="M158" s="28" t="s">
        <v>22</v>
      </c>
      <c r="N158" s="30">
        <f>SUMIF(T152:T154,"GOODS",$N$152:$N$154)</f>
        <v>44500</v>
      </c>
      <c r="O158" s="73">
        <f>COUNTIFS(T151:T154,"GOODS",$N$151:$N$154,"&gt;=1")</f>
        <v>1</v>
      </c>
      <c r="V158" s="1"/>
      <c r="W158" s="1"/>
      <c r="X158" s="1"/>
    </row>
    <row r="159" spans="1:29" x14ac:dyDescent="0.2">
      <c r="K159" s="28"/>
      <c r="L159" s="1"/>
      <c r="M159" s="28" t="s">
        <v>23</v>
      </c>
      <c r="N159" s="30">
        <f>SUMIF(T152:T154,"SERVICES",$N$152:$N$154)</f>
        <v>0</v>
      </c>
      <c r="O159" s="73">
        <f>COUNTIFS(T151:T154,"SERVICES",$N$151:$N$154,"&gt;=1")</f>
        <v>0</v>
      </c>
      <c r="V159" s="1"/>
      <c r="W159" s="1"/>
      <c r="X159" s="1"/>
    </row>
    <row r="160" spans="1:29" x14ac:dyDescent="0.2">
      <c r="G160" s="28"/>
      <c r="H160" s="28"/>
      <c r="I160" s="28"/>
      <c r="J160" s="28"/>
      <c r="K160" s="30"/>
      <c r="L160" s="1"/>
      <c r="M160" s="28" t="s">
        <v>24</v>
      </c>
      <c r="N160" s="30">
        <f>SUMIF(T153:T155,"CONSTRUCTION",$N$152:$N$154)</f>
        <v>0</v>
      </c>
      <c r="O160" s="73">
        <f>COUNTIFS(T151:T154,"CONSTRUCTION",$N$151:$N$154,"&gt;=1")</f>
        <v>0</v>
      </c>
      <c r="V160" s="1"/>
      <c r="W160" s="1"/>
      <c r="X160" s="1"/>
    </row>
    <row r="161" spans="1:34" x14ac:dyDescent="0.2">
      <c r="A161" s="10"/>
      <c r="B161" s="14"/>
      <c r="K161" s="11"/>
      <c r="M161" s="6"/>
      <c r="N161" s="74">
        <f>SUM(N158:N160)</f>
        <v>44500</v>
      </c>
      <c r="O161" s="72">
        <f>SUM(O158:O160)</f>
        <v>1</v>
      </c>
      <c r="P161" s="12"/>
      <c r="Q161" s="12"/>
      <c r="R161" s="12"/>
      <c r="S161" s="14"/>
      <c r="T161" s="14"/>
      <c r="U161" s="14"/>
      <c r="V161" s="1"/>
      <c r="W161" s="1"/>
      <c r="X161" s="1"/>
    </row>
    <row r="162" spans="1:34" ht="15.75" x14ac:dyDescent="0.25">
      <c r="A162" s="88" t="s">
        <v>59</v>
      </c>
      <c r="B162" s="88"/>
      <c r="L162" s="1"/>
      <c r="M162" s="1"/>
      <c r="N162" s="1"/>
      <c r="V162" s="1"/>
      <c r="W162" s="1"/>
      <c r="X162" s="1"/>
    </row>
    <row r="163" spans="1:34" ht="15.75" x14ac:dyDescent="0.25">
      <c r="A163" s="88" t="s">
        <v>242</v>
      </c>
      <c r="B163" s="88"/>
      <c r="L163" s="1"/>
      <c r="M163" s="1"/>
      <c r="N163" s="1"/>
      <c r="V163" s="1"/>
      <c r="W163" s="1"/>
      <c r="X163" s="1"/>
    </row>
    <row r="164" spans="1:34" ht="12" thickBot="1" x14ac:dyDescent="0.25">
      <c r="S164" s="14"/>
      <c r="T164" s="14"/>
      <c r="U164" s="23"/>
      <c r="V164" s="1"/>
      <c r="W164" s="1"/>
      <c r="X164" s="1"/>
    </row>
    <row r="165" spans="1:34" ht="11.85" customHeight="1" x14ac:dyDescent="0.2">
      <c r="A165" s="17"/>
      <c r="B165" s="17"/>
      <c r="C165" s="17"/>
      <c r="D165" s="41"/>
      <c r="E165" s="17"/>
      <c r="F165" s="17"/>
      <c r="G165" s="17"/>
      <c r="H165" s="17"/>
      <c r="I165" s="17"/>
      <c r="J165" s="18"/>
      <c r="K165" s="18" t="s">
        <v>10</v>
      </c>
      <c r="L165" s="18"/>
      <c r="M165" s="18" t="s">
        <v>52</v>
      </c>
      <c r="N165" s="18" t="s">
        <v>47</v>
      </c>
      <c r="O165" s="18" t="s">
        <v>37</v>
      </c>
      <c r="P165" s="17"/>
      <c r="Q165" s="17"/>
      <c r="R165" s="18"/>
      <c r="S165" s="18"/>
      <c r="T165" s="18"/>
      <c r="U165" s="18"/>
      <c r="V165" s="1"/>
      <c r="W165" s="1"/>
      <c r="X165" s="1"/>
    </row>
    <row r="166" spans="1:34" ht="11.85" customHeight="1" x14ac:dyDescent="0.2">
      <c r="A166" s="19" t="s">
        <v>11</v>
      </c>
      <c r="B166" s="19" t="s">
        <v>1</v>
      </c>
      <c r="C166" s="19" t="s">
        <v>11</v>
      </c>
      <c r="D166" s="42" t="s">
        <v>39</v>
      </c>
      <c r="E166" s="19" t="s">
        <v>2</v>
      </c>
      <c r="F166" s="19" t="s">
        <v>11</v>
      </c>
      <c r="G166" s="19" t="s">
        <v>41</v>
      </c>
      <c r="H166" s="19" t="s">
        <v>41</v>
      </c>
      <c r="I166" s="19" t="s">
        <v>41</v>
      </c>
      <c r="J166" s="19" t="s">
        <v>41</v>
      </c>
      <c r="K166" s="19" t="s">
        <v>3</v>
      </c>
      <c r="L166" s="19" t="s">
        <v>51</v>
      </c>
      <c r="M166" s="19" t="s">
        <v>49</v>
      </c>
      <c r="N166" s="19" t="s">
        <v>49</v>
      </c>
      <c r="O166" s="19" t="s">
        <v>38</v>
      </c>
      <c r="P166" s="19" t="s">
        <v>4</v>
      </c>
      <c r="Q166" s="19" t="s">
        <v>4</v>
      </c>
      <c r="R166" s="19" t="s">
        <v>14</v>
      </c>
      <c r="S166" s="19" t="s">
        <v>21</v>
      </c>
      <c r="T166" s="19" t="s">
        <v>26</v>
      </c>
      <c r="U166" s="19" t="s">
        <v>65</v>
      </c>
      <c r="V166" s="1"/>
      <c r="W166" s="1"/>
      <c r="X166" s="1"/>
    </row>
    <row r="167" spans="1:34" ht="11.85" customHeight="1" x14ac:dyDescent="0.2">
      <c r="A167" s="19" t="s">
        <v>5</v>
      </c>
      <c r="B167" s="19"/>
      <c r="C167" s="19" t="s">
        <v>39</v>
      </c>
      <c r="D167" s="42" t="s">
        <v>40</v>
      </c>
      <c r="E167" s="19" t="s">
        <v>7</v>
      </c>
      <c r="F167" s="19" t="s">
        <v>64</v>
      </c>
      <c r="G167" s="19" t="s">
        <v>42</v>
      </c>
      <c r="H167" s="19" t="s">
        <v>43</v>
      </c>
      <c r="I167" s="19" t="s">
        <v>44</v>
      </c>
      <c r="J167" s="19" t="s">
        <v>45</v>
      </c>
      <c r="K167" s="19" t="s">
        <v>6</v>
      </c>
      <c r="L167" s="19" t="s">
        <v>36</v>
      </c>
      <c r="M167" s="19" t="s">
        <v>13</v>
      </c>
      <c r="N167" s="19" t="s">
        <v>13</v>
      </c>
      <c r="O167" s="19" t="s">
        <v>4</v>
      </c>
      <c r="P167" s="19" t="s">
        <v>9</v>
      </c>
      <c r="Q167" s="19" t="s">
        <v>6</v>
      </c>
      <c r="R167" s="19"/>
      <c r="S167" s="19" t="s">
        <v>28</v>
      </c>
      <c r="T167" s="19" t="s">
        <v>27</v>
      </c>
      <c r="U167" s="19"/>
      <c r="V167" s="1"/>
      <c r="W167" s="1"/>
      <c r="X167" s="1"/>
    </row>
    <row r="168" spans="1:34" ht="2.25" customHeight="1" thickBot="1" x14ac:dyDescent="0.25">
      <c r="A168" s="21"/>
      <c r="B168" s="20"/>
      <c r="C168" s="22"/>
      <c r="D168" s="43"/>
      <c r="E168" s="20"/>
      <c r="F168" s="22"/>
      <c r="G168" s="22"/>
      <c r="H168" s="22"/>
      <c r="I168" s="22"/>
      <c r="J168" s="22"/>
      <c r="K168" s="20"/>
      <c r="L168" s="20"/>
      <c r="M168" s="20"/>
      <c r="N168" s="20"/>
      <c r="O168" s="20"/>
      <c r="P168" s="20"/>
      <c r="Q168" s="20"/>
      <c r="R168" s="20"/>
      <c r="S168" s="20"/>
      <c r="T168" s="20"/>
      <c r="U168" s="20"/>
      <c r="V168" s="1"/>
      <c r="W168" s="1"/>
      <c r="X168" s="1"/>
    </row>
    <row r="169" spans="1:34" ht="23.25" thickBot="1" x14ac:dyDescent="0.25">
      <c r="A169" s="157" t="s">
        <v>882</v>
      </c>
      <c r="B169" s="158" t="s">
        <v>883</v>
      </c>
      <c r="C169" s="159" t="s">
        <v>73</v>
      </c>
      <c r="D169" s="160" t="s">
        <v>73</v>
      </c>
      <c r="E169" s="161" t="s">
        <v>884</v>
      </c>
      <c r="F169" s="162" t="s">
        <v>885</v>
      </c>
      <c r="G169" s="163" t="s">
        <v>886</v>
      </c>
      <c r="H169" s="164" t="s">
        <v>887</v>
      </c>
      <c r="I169" s="164" t="s">
        <v>888</v>
      </c>
      <c r="J169" s="161"/>
      <c r="K169" s="159">
        <v>44056</v>
      </c>
      <c r="L169" s="163" t="s">
        <v>889</v>
      </c>
      <c r="M169" s="165">
        <f>6995719+8279438.35+8445682.7+9673920.34</f>
        <v>33394760.389999997</v>
      </c>
      <c r="N169" s="157">
        <v>4</v>
      </c>
      <c r="O169" s="161" t="s">
        <v>73</v>
      </c>
      <c r="P169" s="166"/>
      <c r="Q169" s="161"/>
      <c r="R169" s="167"/>
      <c r="S169" s="168" t="s">
        <v>72</v>
      </c>
      <c r="T169" s="168" t="s">
        <v>24</v>
      </c>
      <c r="U169" s="169" t="s">
        <v>890</v>
      </c>
      <c r="W169" s="6"/>
      <c r="X169" s="1"/>
      <c r="Y169" s="6"/>
      <c r="Z169" s="12"/>
      <c r="AA169" s="12"/>
      <c r="AB169" s="12"/>
      <c r="AC169" s="14"/>
      <c r="AD169" s="14"/>
      <c r="AE169" s="14"/>
    </row>
    <row r="170" spans="1:34" x14ac:dyDescent="0.2">
      <c r="L170" s="1"/>
      <c r="M170" s="1"/>
      <c r="N170" s="1"/>
      <c r="S170" s="6"/>
      <c r="T170" s="6"/>
      <c r="U170" s="14"/>
      <c r="W170" s="6"/>
      <c r="X170" s="1"/>
      <c r="Y170" s="6"/>
      <c r="Z170" s="11"/>
      <c r="AA170" s="11"/>
      <c r="AB170" s="11"/>
      <c r="AC170" s="14"/>
      <c r="AD170" s="14"/>
      <c r="AE170" s="14"/>
    </row>
    <row r="171" spans="1:34" x14ac:dyDescent="0.2">
      <c r="L171" s="28" t="s">
        <v>34</v>
      </c>
      <c r="M171" s="29">
        <f>SUM(M169:M169)</f>
        <v>33394760.389999997</v>
      </c>
      <c r="N171" s="1"/>
      <c r="O171" s="24" t="s">
        <v>46</v>
      </c>
      <c r="P171" s="25">
        <f>SUM(P169:P169)</f>
        <v>0</v>
      </c>
      <c r="U171" s="14"/>
      <c r="W171" s="6"/>
      <c r="X171" s="1"/>
      <c r="Y171" s="6"/>
      <c r="Z171" s="11"/>
      <c r="AA171" s="11"/>
      <c r="AB171" s="11"/>
      <c r="AC171" s="14"/>
      <c r="AD171" s="14"/>
      <c r="AE171" s="14"/>
    </row>
    <row r="172" spans="1:34" ht="12.75" x14ac:dyDescent="0.2">
      <c r="A172" s="37" t="s">
        <v>62</v>
      </c>
      <c r="L172" s="11"/>
      <c r="M172" s="1"/>
      <c r="N172" s="11"/>
      <c r="O172" s="11"/>
      <c r="P172" s="71" t="s">
        <v>68</v>
      </c>
      <c r="Q172" s="71" t="s">
        <v>69</v>
      </c>
      <c r="U172" s="14"/>
      <c r="W172" s="6"/>
      <c r="X172" s="1"/>
      <c r="Y172" s="6"/>
      <c r="Z172" s="11"/>
      <c r="AA172" s="11"/>
      <c r="AB172" s="11"/>
      <c r="AC172" s="14"/>
      <c r="AD172" s="14"/>
      <c r="AE172" s="14"/>
    </row>
    <row r="173" spans="1:34" x14ac:dyDescent="0.2">
      <c r="L173" s="28"/>
      <c r="M173" s="1"/>
      <c r="N173" s="30"/>
      <c r="O173" s="28" t="s">
        <v>22</v>
      </c>
      <c r="P173" s="30">
        <f>SUMIF(T169:T169,"GOODS",$P$169:$P$169)</f>
        <v>0</v>
      </c>
      <c r="Q173" s="73">
        <f>COUNTIFS(T168:T169,"GOODS",$P$168:$P$169,"&gt;=1")</f>
        <v>0</v>
      </c>
      <c r="V173" s="1"/>
      <c r="W173" s="1"/>
      <c r="Y173" s="14"/>
      <c r="Z173" s="6"/>
      <c r="AB173" s="6"/>
      <c r="AC173" s="11"/>
      <c r="AD173" s="11"/>
      <c r="AE173" s="11"/>
      <c r="AF173" s="14"/>
      <c r="AG173" s="14"/>
      <c r="AH173" s="14"/>
    </row>
    <row r="174" spans="1:34" x14ac:dyDescent="0.2">
      <c r="L174" s="28"/>
      <c r="M174" s="1"/>
      <c r="N174" s="30"/>
      <c r="O174" s="28" t="s">
        <v>23</v>
      </c>
      <c r="P174" s="30">
        <f>SUMIF(T169:T169,"SERVICES",$P$169:$P$169)</f>
        <v>0</v>
      </c>
      <c r="Q174" s="73">
        <f>COUNTIFS(T168:T169,"SERVICES",$P$168:$P$169,"&gt;=1")</f>
        <v>0</v>
      </c>
      <c r="V174" s="1"/>
      <c r="W174" s="1"/>
      <c r="Y174" s="14"/>
      <c r="Z174" s="6"/>
      <c r="AB174" s="6"/>
      <c r="AC174" s="11"/>
      <c r="AD174" s="11"/>
      <c r="AE174" s="11"/>
      <c r="AF174" s="14"/>
      <c r="AG174" s="14"/>
      <c r="AH174" s="14"/>
    </row>
    <row r="175" spans="1:34" x14ac:dyDescent="0.2">
      <c r="L175" s="28"/>
      <c r="M175" s="1"/>
      <c r="N175" s="30"/>
      <c r="O175" s="28" t="s">
        <v>24</v>
      </c>
      <c r="P175" s="30">
        <f>SUMIF(T169:T169,"CONSTRUCTION",$P$169:$P$169)</f>
        <v>0</v>
      </c>
      <c r="Q175" s="73">
        <f>COUNTIFS(T168:T169,"CONSTRUCTION",$P$168:$P$169,"&gt;=1")</f>
        <v>0</v>
      </c>
      <c r="V175" s="1"/>
      <c r="W175" s="1"/>
      <c r="Y175" s="14"/>
      <c r="Z175" s="6"/>
      <c r="AB175" s="6"/>
      <c r="AC175" s="11"/>
      <c r="AD175" s="11"/>
      <c r="AE175" s="11"/>
      <c r="AF175" s="14"/>
      <c r="AG175" s="14"/>
      <c r="AH175" s="14"/>
    </row>
    <row r="176" spans="1:34" x14ac:dyDescent="0.2">
      <c r="L176" s="1"/>
      <c r="M176" s="1"/>
      <c r="N176" s="1"/>
      <c r="P176" s="74">
        <f>SUM(P173:P175)</f>
        <v>0</v>
      </c>
      <c r="Q176" s="72">
        <f>SUM(Q173:Q175)</f>
        <v>0</v>
      </c>
      <c r="V176" s="1"/>
      <c r="W176" s="1"/>
      <c r="Y176" s="14"/>
      <c r="Z176" s="6"/>
      <c r="AB176" s="6"/>
      <c r="AC176" s="11"/>
      <c r="AD176" s="11"/>
      <c r="AE176" s="11"/>
      <c r="AF176" s="14"/>
      <c r="AG176" s="14"/>
      <c r="AH176" s="14"/>
    </row>
    <row r="177" spans="1:30" ht="15.75" x14ac:dyDescent="0.25">
      <c r="A177" s="88" t="s">
        <v>30</v>
      </c>
      <c r="B177" s="88"/>
      <c r="L177" s="1"/>
      <c r="M177" s="1"/>
      <c r="N177" s="1"/>
      <c r="V177" s="1"/>
      <c r="W177" s="1"/>
      <c r="X177" s="1"/>
    </row>
    <row r="178" spans="1:30" ht="15.75" x14ac:dyDescent="0.25">
      <c r="A178" s="88" t="s">
        <v>242</v>
      </c>
      <c r="B178" s="88"/>
      <c r="L178" s="1"/>
      <c r="M178" s="1"/>
      <c r="N178" s="1"/>
      <c r="V178" s="1"/>
      <c r="W178" s="1"/>
      <c r="X178" s="1"/>
    </row>
    <row r="179" spans="1:30" ht="12" thickBot="1" x14ac:dyDescent="0.25">
      <c r="M179" s="1"/>
      <c r="N179" s="1"/>
      <c r="R179" s="14"/>
      <c r="S179" s="14"/>
      <c r="T179" s="23"/>
      <c r="V179" s="1"/>
      <c r="W179" s="1"/>
      <c r="X179" s="1"/>
    </row>
    <row r="180" spans="1:30" ht="11.85" customHeight="1" x14ac:dyDescent="0.2">
      <c r="A180" s="17"/>
      <c r="B180" s="17"/>
      <c r="C180" s="17"/>
      <c r="D180" s="41"/>
      <c r="E180" s="17"/>
      <c r="F180" s="17"/>
      <c r="G180" s="17"/>
      <c r="H180" s="17"/>
      <c r="I180" s="17"/>
      <c r="J180" s="18"/>
      <c r="K180" s="18" t="s">
        <v>10</v>
      </c>
      <c r="L180" s="18" t="s">
        <v>47</v>
      </c>
      <c r="M180" s="18" t="s">
        <v>37</v>
      </c>
      <c r="N180" s="17"/>
      <c r="O180" s="17"/>
      <c r="P180" s="210"/>
      <c r="Q180" s="211"/>
      <c r="R180" s="18"/>
      <c r="S180" s="18"/>
      <c r="T180" s="18"/>
      <c r="V180" s="1"/>
      <c r="W180" s="1"/>
      <c r="X180" s="1"/>
    </row>
    <row r="181" spans="1:30" ht="11.85" customHeight="1" x14ac:dyDescent="0.2">
      <c r="A181" s="19" t="s">
        <v>12</v>
      </c>
      <c r="B181" s="19" t="s">
        <v>1</v>
      </c>
      <c r="C181" s="19" t="s">
        <v>71</v>
      </c>
      <c r="D181" s="42" t="s">
        <v>39</v>
      </c>
      <c r="E181" s="19" t="s">
        <v>2</v>
      </c>
      <c r="F181" s="19" t="s">
        <v>71</v>
      </c>
      <c r="G181" s="19" t="s">
        <v>41</v>
      </c>
      <c r="H181" s="19" t="s">
        <v>41</v>
      </c>
      <c r="I181" s="19" t="s">
        <v>41</v>
      </c>
      <c r="J181" s="19" t="s">
        <v>41</v>
      </c>
      <c r="K181" s="19" t="s">
        <v>3</v>
      </c>
      <c r="L181" s="19" t="s">
        <v>48</v>
      </c>
      <c r="M181" s="19" t="s">
        <v>38</v>
      </c>
      <c r="N181" s="19" t="s">
        <v>4</v>
      </c>
      <c r="O181" s="19" t="s">
        <v>4</v>
      </c>
      <c r="P181" s="212" t="s">
        <v>14</v>
      </c>
      <c r="Q181" s="213"/>
      <c r="R181" s="19" t="s">
        <v>21</v>
      </c>
      <c r="S181" s="19" t="s">
        <v>26</v>
      </c>
      <c r="T181" s="19" t="s">
        <v>65</v>
      </c>
      <c r="V181" s="1"/>
      <c r="W181" s="1"/>
      <c r="X181" s="1"/>
    </row>
    <row r="182" spans="1:30" ht="11.85" customHeight="1" x14ac:dyDescent="0.2">
      <c r="A182" s="19" t="s">
        <v>5</v>
      </c>
      <c r="B182" s="19"/>
      <c r="C182" s="19" t="s">
        <v>39</v>
      </c>
      <c r="D182" s="42" t="s">
        <v>40</v>
      </c>
      <c r="E182" s="19" t="s">
        <v>7</v>
      </c>
      <c r="F182" s="19" t="s">
        <v>64</v>
      </c>
      <c r="G182" s="19" t="s">
        <v>42</v>
      </c>
      <c r="H182" s="19" t="s">
        <v>43</v>
      </c>
      <c r="I182" s="19" t="s">
        <v>44</v>
      </c>
      <c r="J182" s="19" t="s">
        <v>45</v>
      </c>
      <c r="K182" s="19" t="s">
        <v>6</v>
      </c>
      <c r="L182" s="19" t="s">
        <v>13</v>
      </c>
      <c r="M182" s="19" t="s">
        <v>4</v>
      </c>
      <c r="N182" s="19" t="s">
        <v>9</v>
      </c>
      <c r="O182" s="19" t="s">
        <v>6</v>
      </c>
      <c r="P182" s="212"/>
      <c r="Q182" s="213"/>
      <c r="R182" s="19" t="s">
        <v>28</v>
      </c>
      <c r="S182" s="19" t="s">
        <v>27</v>
      </c>
      <c r="T182" s="19"/>
      <c r="V182" s="1"/>
      <c r="W182" s="1"/>
      <c r="X182" s="1"/>
    </row>
    <row r="183" spans="1:30" ht="2.25" customHeight="1" thickBot="1" x14ac:dyDescent="0.25">
      <c r="A183" s="21"/>
      <c r="B183" s="20"/>
      <c r="C183" s="22"/>
      <c r="D183" s="43"/>
      <c r="E183" s="20"/>
      <c r="F183" s="22"/>
      <c r="G183" s="22"/>
      <c r="H183" s="22"/>
      <c r="I183" s="22"/>
      <c r="J183" s="22"/>
      <c r="K183" s="20"/>
      <c r="L183" s="20"/>
      <c r="M183" s="20"/>
      <c r="N183" s="20"/>
      <c r="O183" s="20"/>
      <c r="P183" s="214"/>
      <c r="Q183" s="215"/>
      <c r="R183" s="20"/>
      <c r="S183" s="20"/>
      <c r="T183" s="20"/>
      <c r="V183" s="1"/>
      <c r="W183" s="1"/>
      <c r="X183" s="1"/>
    </row>
    <row r="184" spans="1:30" x14ac:dyDescent="0.2">
      <c r="A184" s="122" t="s">
        <v>891</v>
      </c>
      <c r="B184" s="93" t="s">
        <v>892</v>
      </c>
      <c r="C184" s="4">
        <v>43699</v>
      </c>
      <c r="D184" s="48" t="s">
        <v>893</v>
      </c>
      <c r="E184" s="123" t="s">
        <v>894</v>
      </c>
      <c r="F184" s="47" t="s">
        <v>895</v>
      </c>
      <c r="G184" s="47" t="s">
        <v>896</v>
      </c>
      <c r="H184" s="4"/>
      <c r="I184" s="4"/>
      <c r="J184" s="4"/>
      <c r="K184" s="5">
        <v>43726</v>
      </c>
      <c r="L184" s="3">
        <v>11</v>
      </c>
      <c r="M184" s="47" t="s">
        <v>897</v>
      </c>
      <c r="N184" s="124">
        <v>6000</v>
      </c>
      <c r="O184" s="4">
        <v>43780</v>
      </c>
      <c r="P184" s="228" t="s">
        <v>898</v>
      </c>
      <c r="Q184" s="229"/>
      <c r="R184" s="110" t="s">
        <v>72</v>
      </c>
      <c r="S184" s="110" t="s">
        <v>24</v>
      </c>
      <c r="T184" s="55"/>
      <c r="U184" s="14"/>
      <c r="V184" s="6"/>
      <c r="W184" s="1"/>
      <c r="X184" s="6"/>
      <c r="Y184" s="12"/>
      <c r="Z184" s="12"/>
      <c r="AA184" s="12"/>
      <c r="AB184" s="14"/>
      <c r="AC184" s="14"/>
      <c r="AD184" s="14"/>
    </row>
    <row r="185" spans="1:30" ht="56.25" x14ac:dyDescent="0.2">
      <c r="A185" s="3" t="s">
        <v>899</v>
      </c>
      <c r="B185" s="93" t="s">
        <v>900</v>
      </c>
      <c r="C185" s="96" t="s">
        <v>73</v>
      </c>
      <c r="D185" s="2" t="s">
        <v>73</v>
      </c>
      <c r="E185" s="3" t="s">
        <v>901</v>
      </c>
      <c r="F185" s="47" t="s">
        <v>902</v>
      </c>
      <c r="G185" s="47" t="s">
        <v>903</v>
      </c>
      <c r="H185" s="47" t="s">
        <v>904</v>
      </c>
      <c r="I185" s="47" t="s">
        <v>905</v>
      </c>
      <c r="J185" s="3"/>
      <c r="K185" s="5">
        <v>43895</v>
      </c>
      <c r="L185" s="3"/>
      <c r="M185" s="110" t="s">
        <v>86</v>
      </c>
      <c r="N185" s="58" t="s">
        <v>86</v>
      </c>
      <c r="O185" s="4" t="s">
        <v>86</v>
      </c>
      <c r="P185" s="222" t="s">
        <v>906</v>
      </c>
      <c r="Q185" s="223"/>
      <c r="R185" s="110" t="s">
        <v>72</v>
      </c>
      <c r="S185" s="110" t="s">
        <v>24</v>
      </c>
      <c r="T185" s="52"/>
      <c r="U185" s="14"/>
      <c r="V185" s="6"/>
      <c r="W185" s="1"/>
      <c r="X185" s="6"/>
      <c r="Y185" s="12"/>
      <c r="Z185" s="12"/>
      <c r="AA185" s="12"/>
      <c r="AB185" s="14"/>
      <c r="AC185" s="14"/>
      <c r="AD185" s="14"/>
    </row>
    <row r="186" spans="1:30" ht="22.5" x14ac:dyDescent="0.2">
      <c r="A186" s="3" t="s">
        <v>907</v>
      </c>
      <c r="B186" s="93" t="s">
        <v>908</v>
      </c>
      <c r="C186" s="4" t="s">
        <v>73</v>
      </c>
      <c r="D186" s="2" t="s">
        <v>73</v>
      </c>
      <c r="E186" s="3" t="s">
        <v>86</v>
      </c>
      <c r="F186" s="47" t="s">
        <v>909</v>
      </c>
      <c r="G186" s="50"/>
      <c r="H186" s="50"/>
      <c r="I186" s="50"/>
      <c r="J186" s="50"/>
      <c r="K186" s="5">
        <v>43915</v>
      </c>
      <c r="L186" s="3">
        <v>4</v>
      </c>
      <c r="M186" s="110" t="s">
        <v>86</v>
      </c>
      <c r="N186" s="58" t="s">
        <v>86</v>
      </c>
      <c r="O186" s="4">
        <v>43952</v>
      </c>
      <c r="P186" s="222" t="s">
        <v>910</v>
      </c>
      <c r="Q186" s="223"/>
      <c r="R186" s="110" t="s">
        <v>87</v>
      </c>
      <c r="S186" s="110" t="s">
        <v>23</v>
      </c>
      <c r="T186" s="52"/>
      <c r="U186" s="14"/>
      <c r="V186" s="6"/>
      <c r="W186" s="1"/>
      <c r="X186" s="6"/>
      <c r="Y186" s="12"/>
      <c r="Z186" s="12"/>
      <c r="AA186" s="12"/>
      <c r="AB186" s="14"/>
      <c r="AC186" s="14"/>
      <c r="AD186" s="14"/>
    </row>
    <row r="187" spans="1:30" ht="12" thickBot="1" x14ac:dyDescent="0.25">
      <c r="A187" s="9" t="s">
        <v>911</v>
      </c>
      <c r="B187" s="115" t="s">
        <v>912</v>
      </c>
      <c r="C187" s="8" t="s">
        <v>73</v>
      </c>
      <c r="D187" s="7" t="s">
        <v>73</v>
      </c>
      <c r="E187" s="8" t="s">
        <v>86</v>
      </c>
      <c r="F187" s="170" t="s">
        <v>913</v>
      </c>
      <c r="G187" s="152" t="s">
        <v>914</v>
      </c>
      <c r="H187" s="8"/>
      <c r="I187" s="8"/>
      <c r="J187" s="8"/>
      <c r="K187" s="117">
        <v>43998</v>
      </c>
      <c r="L187" s="9">
        <v>17</v>
      </c>
      <c r="M187" s="8"/>
      <c r="N187" s="60"/>
      <c r="O187" s="8"/>
      <c r="P187" s="230"/>
      <c r="Q187" s="231"/>
      <c r="R187" s="118" t="s">
        <v>72</v>
      </c>
      <c r="S187" s="118" t="s">
        <v>23</v>
      </c>
      <c r="T187" s="54"/>
      <c r="U187" s="14"/>
      <c r="V187" s="6"/>
      <c r="W187" s="1"/>
      <c r="X187" s="6"/>
      <c r="Y187" s="12"/>
      <c r="Z187" s="12"/>
      <c r="AA187" s="12"/>
      <c r="AB187" s="14"/>
      <c r="AC187" s="14"/>
      <c r="AD187" s="14"/>
    </row>
    <row r="188" spans="1:30" x14ac:dyDescent="0.2">
      <c r="L188" s="1"/>
      <c r="M188" s="1"/>
      <c r="N188" s="1"/>
      <c r="R188" s="6"/>
      <c r="S188" s="6"/>
      <c r="T188" s="14"/>
      <c r="U188" s="14"/>
      <c r="V188" s="6"/>
      <c r="W188" s="1"/>
      <c r="X188" s="6"/>
      <c r="Y188" s="11"/>
      <c r="Z188" s="11"/>
      <c r="AA188" s="11"/>
      <c r="AB188" s="14"/>
      <c r="AC188" s="14"/>
      <c r="AD188" s="14"/>
    </row>
    <row r="189" spans="1:30" x14ac:dyDescent="0.2">
      <c r="L189" s="1"/>
      <c r="M189" s="24" t="s">
        <v>46</v>
      </c>
      <c r="N189" s="25">
        <f>SUM(N184:N187)</f>
        <v>6000</v>
      </c>
      <c r="T189" s="14"/>
      <c r="U189" s="14"/>
      <c r="V189" s="6"/>
      <c r="W189" s="1"/>
      <c r="X189" s="6"/>
      <c r="Y189" s="11"/>
      <c r="Z189" s="11"/>
      <c r="AA189" s="11"/>
      <c r="AB189" s="14"/>
      <c r="AC189" s="14"/>
      <c r="AD189" s="14"/>
    </row>
    <row r="190" spans="1:30" ht="12.75" x14ac:dyDescent="0.2">
      <c r="A190" s="37" t="s">
        <v>62</v>
      </c>
      <c r="L190" s="11"/>
      <c r="M190" s="11"/>
      <c r="N190" s="71" t="s">
        <v>68</v>
      </c>
      <c r="O190" s="71" t="s">
        <v>69</v>
      </c>
      <c r="T190" s="14"/>
      <c r="U190" s="14"/>
      <c r="V190" s="6"/>
      <c r="W190" s="1"/>
      <c r="X190" s="6"/>
      <c r="Y190" s="11"/>
      <c r="Z190" s="11"/>
      <c r="AA190" s="11"/>
      <c r="AB190" s="14"/>
      <c r="AC190" s="14"/>
      <c r="AD190" s="14"/>
    </row>
    <row r="191" spans="1:30" x14ac:dyDescent="0.2">
      <c r="L191" s="30"/>
      <c r="M191" s="28" t="s">
        <v>22</v>
      </c>
      <c r="N191" s="30">
        <f>SUMIF(S184:S187,"GOODS",$N$184:$N$187)</f>
        <v>0</v>
      </c>
      <c r="O191" s="73">
        <f>COUNTIFS(S183:S187,"GOODS",$N$183:$N$187,"&gt;=1")</f>
        <v>0</v>
      </c>
      <c r="T191" s="14"/>
      <c r="U191" s="14"/>
      <c r="V191" s="6"/>
      <c r="W191" s="1"/>
      <c r="X191" s="6"/>
      <c r="Y191" s="11"/>
      <c r="Z191" s="11"/>
      <c r="AA191" s="11"/>
      <c r="AB191" s="14"/>
      <c r="AC191" s="14"/>
      <c r="AD191" s="14"/>
    </row>
    <row r="192" spans="1:30" x14ac:dyDescent="0.2">
      <c r="L192" s="30"/>
      <c r="M192" s="28" t="s">
        <v>23</v>
      </c>
      <c r="N192" s="30">
        <f>SUMIF(S184:S187,"SERVICES",$N$184:$N$187)</f>
        <v>0</v>
      </c>
      <c r="O192" s="73">
        <f>COUNTIFS(S183:S187,"SERVICES",$N$183:$N$187,"&gt;=1")</f>
        <v>0</v>
      </c>
      <c r="T192" s="14"/>
      <c r="U192" s="14"/>
      <c r="V192" s="6"/>
      <c r="W192" s="1"/>
      <c r="X192" s="6"/>
      <c r="Y192" s="11"/>
      <c r="Z192" s="11"/>
      <c r="AA192" s="11"/>
      <c r="AB192" s="14"/>
      <c r="AC192" s="14"/>
      <c r="AD192" s="14"/>
    </row>
    <row r="193" spans="1:30" x14ac:dyDescent="0.2">
      <c r="L193" s="30"/>
      <c r="M193" s="28" t="s">
        <v>24</v>
      </c>
      <c r="N193" s="30">
        <f>SUMIF(S184:S187,"CONSTRUCTION",$N$184:$N$187)</f>
        <v>6000</v>
      </c>
      <c r="O193" s="73">
        <f>COUNTIFS(S183:S187,"CONSTRUCTION",$N$183:$N$187,"&gt;=1")</f>
        <v>1</v>
      </c>
      <c r="T193" s="14"/>
      <c r="U193" s="14"/>
      <c r="V193" s="6"/>
      <c r="W193" s="1"/>
      <c r="X193" s="6"/>
      <c r="Y193" s="11"/>
      <c r="Z193" s="11"/>
      <c r="AA193" s="11"/>
      <c r="AB193" s="14"/>
      <c r="AC193" s="14"/>
      <c r="AD193" s="14"/>
    </row>
    <row r="194" spans="1:30" x14ac:dyDescent="0.2">
      <c r="A194" s="10"/>
      <c r="B194" s="14"/>
      <c r="K194" s="11"/>
      <c r="M194" s="1"/>
      <c r="N194" s="74">
        <f>SUM(N191:N193)</f>
        <v>6000</v>
      </c>
      <c r="O194" s="72">
        <f>SUM(O191:O193)</f>
        <v>1</v>
      </c>
      <c r="P194" s="11"/>
      <c r="Q194" s="11"/>
      <c r="R194" s="14"/>
      <c r="S194" s="14"/>
      <c r="T194" s="14"/>
      <c r="V194" s="1"/>
      <c r="W194" s="1"/>
      <c r="X194" s="1"/>
    </row>
    <row r="195" spans="1:30" ht="15.75" x14ac:dyDescent="0.25">
      <c r="A195" s="88" t="s">
        <v>29</v>
      </c>
      <c r="B195" s="88"/>
      <c r="L195" s="1"/>
      <c r="M195" s="1"/>
      <c r="N195" s="1"/>
      <c r="V195" s="1"/>
      <c r="W195" s="1"/>
      <c r="X195" s="1"/>
    </row>
    <row r="196" spans="1:30" ht="15.75" x14ac:dyDescent="0.25">
      <c r="A196" s="88" t="s">
        <v>242</v>
      </c>
      <c r="B196" s="88"/>
      <c r="L196" s="1"/>
      <c r="M196" s="1"/>
      <c r="N196" s="1"/>
      <c r="V196" s="1"/>
      <c r="W196" s="1"/>
      <c r="X196" s="1"/>
    </row>
    <row r="197" spans="1:30" ht="12" thickBot="1" x14ac:dyDescent="0.25">
      <c r="J197" s="14"/>
      <c r="K197" s="14"/>
      <c r="M197" s="23"/>
      <c r="N197" s="1"/>
      <c r="V197" s="1"/>
      <c r="W197" s="1"/>
      <c r="X197" s="1"/>
    </row>
    <row r="198" spans="1:30" ht="11.85" customHeight="1" x14ac:dyDescent="0.2">
      <c r="A198" s="17"/>
      <c r="B198" s="17"/>
      <c r="C198" s="17"/>
      <c r="D198" s="41"/>
      <c r="E198" s="17"/>
      <c r="F198" s="17"/>
      <c r="G198" s="17"/>
      <c r="H198" s="17"/>
      <c r="I198" s="18" t="s">
        <v>10</v>
      </c>
      <c r="J198" s="18" t="s">
        <v>47</v>
      </c>
      <c r="K198" s="18"/>
      <c r="L198" s="18"/>
      <c r="M198" s="210"/>
      <c r="N198" s="211"/>
      <c r="V198" s="1"/>
      <c r="W198" s="1"/>
      <c r="X198" s="1"/>
    </row>
    <row r="199" spans="1:30" ht="11.85" customHeight="1" x14ac:dyDescent="0.2">
      <c r="A199" s="19" t="s">
        <v>18</v>
      </c>
      <c r="B199" s="19" t="s">
        <v>1</v>
      </c>
      <c r="C199" s="19" t="s">
        <v>18</v>
      </c>
      <c r="D199" s="42" t="s">
        <v>39</v>
      </c>
      <c r="E199" s="19" t="s">
        <v>2</v>
      </c>
      <c r="F199" s="19" t="s">
        <v>18</v>
      </c>
      <c r="G199" s="19" t="s">
        <v>41</v>
      </c>
      <c r="H199" s="19" t="s">
        <v>41</v>
      </c>
      <c r="I199" s="19" t="s">
        <v>3</v>
      </c>
      <c r="J199" s="19" t="s">
        <v>48</v>
      </c>
      <c r="K199" s="19" t="s">
        <v>21</v>
      </c>
      <c r="L199" s="19" t="s">
        <v>26</v>
      </c>
      <c r="M199" s="212" t="s">
        <v>65</v>
      </c>
      <c r="N199" s="213"/>
      <c r="V199" s="1"/>
      <c r="W199" s="1"/>
      <c r="X199" s="1"/>
    </row>
    <row r="200" spans="1:30" ht="11.85" customHeight="1" x14ac:dyDescent="0.2">
      <c r="A200" s="19" t="s">
        <v>5</v>
      </c>
      <c r="B200" s="19"/>
      <c r="C200" s="19" t="s">
        <v>39</v>
      </c>
      <c r="D200" s="42" t="s">
        <v>40</v>
      </c>
      <c r="E200" s="19" t="s">
        <v>7</v>
      </c>
      <c r="F200" s="19" t="s">
        <v>64</v>
      </c>
      <c r="G200" s="19" t="s">
        <v>42</v>
      </c>
      <c r="H200" s="19" t="s">
        <v>43</v>
      </c>
      <c r="I200" s="19" t="s">
        <v>6</v>
      </c>
      <c r="J200" s="19" t="s">
        <v>13</v>
      </c>
      <c r="K200" s="19" t="s">
        <v>28</v>
      </c>
      <c r="L200" s="19" t="s">
        <v>27</v>
      </c>
      <c r="M200" s="212"/>
      <c r="N200" s="213"/>
      <c r="V200" s="1"/>
      <c r="W200" s="1"/>
      <c r="X200" s="1"/>
    </row>
    <row r="201" spans="1:30" ht="2.25" customHeight="1" thickBot="1" x14ac:dyDescent="0.25">
      <c r="A201" s="21"/>
      <c r="B201" s="20"/>
      <c r="C201" s="22"/>
      <c r="D201" s="43"/>
      <c r="E201" s="20"/>
      <c r="F201" s="22"/>
      <c r="G201" s="22"/>
      <c r="H201" s="22"/>
      <c r="I201" s="20"/>
      <c r="J201" s="20"/>
      <c r="K201" s="20"/>
      <c r="L201" s="20"/>
      <c r="M201" s="214"/>
      <c r="N201" s="215"/>
      <c r="V201" s="1"/>
      <c r="W201" s="1"/>
      <c r="X201" s="1"/>
    </row>
    <row r="202" spans="1:30" ht="13.35" customHeight="1" thickBot="1" x14ac:dyDescent="0.25">
      <c r="A202" s="171" t="s">
        <v>915</v>
      </c>
      <c r="B202" s="158"/>
      <c r="C202" s="172"/>
      <c r="D202" s="173"/>
      <c r="E202" s="172"/>
      <c r="F202" s="164"/>
      <c r="G202" s="164"/>
      <c r="H202" s="172"/>
      <c r="I202" s="172"/>
      <c r="J202" s="172"/>
      <c r="K202" s="168"/>
      <c r="L202" s="168"/>
      <c r="M202" s="239"/>
      <c r="N202" s="240"/>
      <c r="O202" s="6"/>
      <c r="Q202" s="6"/>
      <c r="R202" s="12"/>
      <c r="S202" s="12"/>
      <c r="T202" s="12"/>
      <c r="U202" s="14"/>
      <c r="X202" s="1"/>
    </row>
    <row r="203" spans="1:30" x14ac:dyDescent="0.2">
      <c r="K203" s="6"/>
      <c r="L203" s="6"/>
      <c r="O203" s="6"/>
      <c r="Q203" s="6"/>
      <c r="R203" s="11"/>
      <c r="S203" s="11"/>
      <c r="T203" s="11"/>
      <c r="U203" s="14"/>
      <c r="X203" s="1"/>
    </row>
    <row r="204" spans="1:30" x14ac:dyDescent="0.2">
      <c r="A204" s="10"/>
      <c r="B204" s="14"/>
      <c r="I204" s="11"/>
      <c r="J204" s="14"/>
      <c r="K204" s="14"/>
      <c r="N204" s="1"/>
      <c r="V204" s="1"/>
      <c r="W204" s="1"/>
      <c r="X204" s="1"/>
    </row>
    <row r="205" spans="1:30" ht="12.75" x14ac:dyDescent="0.2">
      <c r="A205" s="38" t="s">
        <v>62</v>
      </c>
      <c r="B205" s="14"/>
      <c r="J205" s="14"/>
      <c r="K205" s="14"/>
      <c r="O205" s="14"/>
      <c r="V205" s="1"/>
      <c r="W205" s="1"/>
      <c r="X205" s="1"/>
    </row>
    <row r="206" spans="1:30" x14ac:dyDescent="0.2">
      <c r="A206" s="10"/>
      <c r="B206" s="14"/>
      <c r="K206" s="11"/>
      <c r="O206" s="14"/>
      <c r="P206" s="14"/>
      <c r="Q206" s="14"/>
      <c r="V206" s="1"/>
      <c r="W206" s="1"/>
      <c r="X206" s="1"/>
    </row>
    <row r="207" spans="1:30" x14ac:dyDescent="0.2">
      <c r="A207" s="10"/>
      <c r="B207" s="14"/>
      <c r="K207" s="11"/>
      <c r="O207" s="14"/>
      <c r="P207" s="14"/>
      <c r="Q207" s="14"/>
      <c r="V207" s="1"/>
      <c r="W207" s="1"/>
      <c r="X207" s="1"/>
    </row>
    <row r="208" spans="1:30" x14ac:dyDescent="0.2">
      <c r="A208" s="10" t="s">
        <v>67</v>
      </c>
      <c r="B208" s="14"/>
      <c r="K208" s="11"/>
      <c r="R208" s="11"/>
      <c r="S208" s="11"/>
      <c r="T208" s="11"/>
      <c r="U208" s="11"/>
    </row>
    <row r="209" spans="1:21" x14ac:dyDescent="0.2">
      <c r="A209" s="10"/>
      <c r="B209" s="14"/>
      <c r="K209" s="11"/>
      <c r="R209" s="11"/>
      <c r="S209" s="11"/>
      <c r="T209" s="11"/>
      <c r="U209" s="11"/>
    </row>
    <row r="210" spans="1:21" ht="15" customHeight="1" x14ac:dyDescent="0.2">
      <c r="A210" s="236" t="s">
        <v>66</v>
      </c>
      <c r="B210" s="237"/>
      <c r="C210" s="237"/>
      <c r="D210" s="237"/>
      <c r="E210" s="237"/>
      <c r="F210" s="237"/>
      <c r="G210" s="237"/>
      <c r="H210" s="237"/>
      <c r="I210" s="237"/>
      <c r="J210" s="237"/>
      <c r="K210" s="237"/>
      <c r="L210" s="237"/>
      <c r="R210" s="11"/>
      <c r="S210" s="11"/>
      <c r="T210" s="11"/>
      <c r="U210" s="11"/>
    </row>
    <row r="211" spans="1:21" ht="15" customHeight="1" x14ac:dyDescent="0.2">
      <c r="A211" s="237"/>
      <c r="B211" s="237"/>
      <c r="C211" s="237"/>
      <c r="D211" s="237"/>
      <c r="E211" s="237"/>
      <c r="F211" s="237"/>
      <c r="G211" s="237"/>
      <c r="H211" s="237"/>
      <c r="I211" s="237"/>
      <c r="J211" s="237"/>
      <c r="K211" s="237"/>
      <c r="L211" s="237"/>
      <c r="R211" s="11"/>
      <c r="S211" s="11"/>
      <c r="T211" s="11"/>
      <c r="U211" s="11"/>
    </row>
    <row r="212" spans="1:21" ht="14.25" customHeight="1" x14ac:dyDescent="0.2">
      <c r="A212" s="237"/>
      <c r="B212" s="237"/>
      <c r="C212" s="237"/>
      <c r="D212" s="237"/>
      <c r="E212" s="237"/>
      <c r="F212" s="237"/>
      <c r="G212" s="237"/>
      <c r="H212" s="237"/>
      <c r="I212" s="237"/>
      <c r="J212" s="237"/>
      <c r="K212" s="237"/>
      <c r="L212" s="237"/>
      <c r="R212" s="11"/>
      <c r="S212" s="11"/>
      <c r="T212" s="11"/>
      <c r="U212" s="11"/>
    </row>
    <row r="213" spans="1:21" ht="14.25" customHeight="1" x14ac:dyDescent="0.2">
      <c r="A213" s="237"/>
      <c r="B213" s="237"/>
      <c r="C213" s="237"/>
      <c r="D213" s="237"/>
      <c r="E213" s="237"/>
      <c r="F213" s="237"/>
      <c r="G213" s="237"/>
      <c r="H213" s="237"/>
      <c r="I213" s="237"/>
      <c r="J213" s="237"/>
      <c r="K213" s="237"/>
      <c r="L213" s="237"/>
      <c r="R213" s="11"/>
      <c r="S213" s="11"/>
      <c r="T213" s="11"/>
      <c r="U213" s="11"/>
    </row>
    <row r="214" spans="1:21" x14ac:dyDescent="0.2">
      <c r="A214" s="10"/>
      <c r="B214" s="14"/>
      <c r="K214" s="11"/>
      <c r="R214" s="11"/>
      <c r="S214" s="11"/>
      <c r="T214" s="11"/>
      <c r="U214" s="11"/>
    </row>
    <row r="215" spans="1:21" x14ac:dyDescent="0.2">
      <c r="A215" s="10"/>
      <c r="B215" s="14"/>
      <c r="K215" s="11"/>
      <c r="R215" s="11"/>
      <c r="S215" s="11"/>
      <c r="T215" s="11"/>
      <c r="U215" s="11"/>
    </row>
    <row r="216" spans="1:21" x14ac:dyDescent="0.2">
      <c r="A216" s="10"/>
      <c r="B216" s="14"/>
      <c r="K216" s="11"/>
      <c r="R216" s="11"/>
      <c r="S216" s="11"/>
      <c r="T216" s="11"/>
      <c r="U216" s="11"/>
    </row>
    <row r="217" spans="1:21" x14ac:dyDescent="0.2">
      <c r="A217" s="10"/>
      <c r="B217" s="14"/>
      <c r="K217" s="11"/>
      <c r="R217" s="11"/>
      <c r="S217" s="11"/>
      <c r="T217" s="11"/>
      <c r="U217" s="11"/>
    </row>
    <row r="218" spans="1:21" x14ac:dyDescent="0.2">
      <c r="A218" s="10"/>
      <c r="B218" s="14"/>
      <c r="K218" s="11"/>
      <c r="R218" s="11"/>
      <c r="S218" s="11"/>
      <c r="T218" s="11"/>
      <c r="U218" s="11"/>
    </row>
    <row r="219" spans="1:21" x14ac:dyDescent="0.2">
      <c r="A219" s="10"/>
      <c r="B219" s="14"/>
      <c r="K219" s="11"/>
      <c r="R219" s="11"/>
      <c r="S219" s="11"/>
      <c r="T219" s="11"/>
      <c r="U219" s="11"/>
    </row>
    <row r="220" spans="1:21" x14ac:dyDescent="0.2">
      <c r="A220" s="10"/>
      <c r="B220" s="14"/>
      <c r="K220" s="11"/>
      <c r="R220" s="11"/>
      <c r="S220" s="11"/>
      <c r="T220" s="11"/>
      <c r="U220" s="11"/>
    </row>
    <row r="221" spans="1:21" x14ac:dyDescent="0.2">
      <c r="A221" s="10"/>
      <c r="B221" s="14"/>
      <c r="K221" s="11"/>
      <c r="R221" s="11"/>
      <c r="S221" s="11"/>
      <c r="T221" s="11"/>
      <c r="U221" s="11"/>
    </row>
    <row r="222" spans="1:21" x14ac:dyDescent="0.2">
      <c r="A222" s="10"/>
      <c r="B222" s="14"/>
      <c r="K222" s="11"/>
      <c r="R222" s="11"/>
      <c r="S222" s="11"/>
      <c r="T222" s="11"/>
      <c r="U222" s="11"/>
    </row>
    <row r="223" spans="1:21" x14ac:dyDescent="0.2">
      <c r="A223" s="10"/>
      <c r="B223" s="14"/>
      <c r="K223" s="11"/>
      <c r="R223" s="11"/>
      <c r="S223" s="11"/>
      <c r="T223" s="11"/>
      <c r="U223" s="11"/>
    </row>
    <row r="224" spans="1:21" x14ac:dyDescent="0.2">
      <c r="A224" s="10"/>
      <c r="B224" s="14"/>
      <c r="K224" s="11"/>
      <c r="R224" s="11"/>
      <c r="S224" s="11"/>
      <c r="T224" s="11"/>
      <c r="U224" s="11"/>
    </row>
    <row r="225" spans="1:21" x14ac:dyDescent="0.2">
      <c r="A225" s="10"/>
      <c r="B225" s="14"/>
      <c r="K225" s="11"/>
      <c r="R225" s="11"/>
      <c r="S225" s="11"/>
      <c r="T225" s="11"/>
      <c r="U225" s="11"/>
    </row>
    <row r="226" spans="1:21" x14ac:dyDescent="0.2">
      <c r="A226" s="10"/>
      <c r="B226" s="14"/>
      <c r="K226" s="11"/>
      <c r="R226" s="11"/>
      <c r="S226" s="11"/>
      <c r="T226" s="11"/>
      <c r="U226" s="11"/>
    </row>
    <row r="227" spans="1:21" x14ac:dyDescent="0.2">
      <c r="A227" s="10"/>
      <c r="B227" s="14"/>
      <c r="K227" s="11"/>
      <c r="R227" s="11"/>
      <c r="S227" s="11"/>
      <c r="T227" s="11"/>
      <c r="U227" s="11"/>
    </row>
    <row r="228" spans="1:21" x14ac:dyDescent="0.2">
      <c r="A228" s="10"/>
      <c r="B228" s="14"/>
      <c r="K228" s="11"/>
      <c r="R228" s="11"/>
      <c r="S228" s="11"/>
      <c r="T228" s="11"/>
      <c r="U228" s="11"/>
    </row>
    <row r="229" spans="1:21" x14ac:dyDescent="0.2">
      <c r="A229" s="10"/>
      <c r="B229" s="14"/>
      <c r="K229" s="11"/>
      <c r="R229" s="11"/>
      <c r="S229" s="11"/>
      <c r="T229" s="11"/>
      <c r="U229" s="11"/>
    </row>
    <row r="230" spans="1:21" x14ac:dyDescent="0.2">
      <c r="A230" s="10"/>
      <c r="B230" s="14"/>
      <c r="K230" s="11"/>
      <c r="R230" s="11"/>
      <c r="S230" s="11"/>
      <c r="T230" s="11"/>
      <c r="U230" s="11"/>
    </row>
    <row r="231" spans="1:21" x14ac:dyDescent="0.2">
      <c r="A231" s="10"/>
      <c r="B231" s="14"/>
      <c r="K231" s="11"/>
      <c r="R231" s="11"/>
      <c r="S231" s="11"/>
      <c r="T231" s="11"/>
      <c r="U231" s="11"/>
    </row>
    <row r="232" spans="1:21" x14ac:dyDescent="0.2">
      <c r="A232" s="10"/>
      <c r="B232" s="14"/>
      <c r="K232" s="11"/>
      <c r="R232" s="11"/>
      <c r="S232" s="11"/>
      <c r="T232" s="11"/>
      <c r="U232" s="11"/>
    </row>
    <row r="233" spans="1:21" x14ac:dyDescent="0.2">
      <c r="A233" s="10"/>
      <c r="B233" s="14"/>
      <c r="K233" s="11"/>
      <c r="R233" s="11"/>
      <c r="S233" s="11"/>
      <c r="T233" s="11"/>
      <c r="U233" s="11"/>
    </row>
    <row r="234" spans="1:21" x14ac:dyDescent="0.2">
      <c r="A234" s="10"/>
      <c r="B234" s="14"/>
      <c r="K234" s="11"/>
      <c r="R234" s="11"/>
      <c r="S234" s="11"/>
      <c r="T234" s="11"/>
      <c r="U234" s="11"/>
    </row>
    <row r="235" spans="1:21" x14ac:dyDescent="0.2">
      <c r="A235" s="10"/>
      <c r="B235" s="14"/>
      <c r="K235" s="11"/>
      <c r="R235" s="11"/>
      <c r="S235" s="11"/>
      <c r="T235" s="11"/>
      <c r="U235" s="11"/>
    </row>
    <row r="236" spans="1:21" x14ac:dyDescent="0.2">
      <c r="A236" s="10"/>
      <c r="B236" s="14"/>
      <c r="K236" s="11"/>
      <c r="R236" s="11"/>
      <c r="S236" s="11"/>
      <c r="T236" s="11"/>
      <c r="U236" s="11"/>
    </row>
    <row r="237" spans="1:21" x14ac:dyDescent="0.2">
      <c r="A237" s="10"/>
      <c r="B237" s="14"/>
      <c r="K237" s="11"/>
      <c r="R237" s="11"/>
      <c r="S237" s="11"/>
      <c r="T237" s="11"/>
      <c r="U237" s="11"/>
    </row>
    <row r="238" spans="1:21" x14ac:dyDescent="0.2">
      <c r="A238" s="10"/>
      <c r="B238" s="14"/>
      <c r="K238" s="11"/>
      <c r="R238" s="11"/>
      <c r="S238" s="11"/>
      <c r="T238" s="11"/>
      <c r="U238" s="11"/>
    </row>
    <row r="239" spans="1:21" x14ac:dyDescent="0.2">
      <c r="A239" s="10"/>
      <c r="B239" s="14"/>
      <c r="K239" s="11"/>
      <c r="R239" s="11"/>
      <c r="S239" s="11"/>
      <c r="T239" s="11"/>
      <c r="U239" s="11"/>
    </row>
    <row r="240" spans="1:21" x14ac:dyDescent="0.2">
      <c r="A240" s="10"/>
      <c r="B240" s="14"/>
      <c r="K240" s="11"/>
      <c r="R240" s="11"/>
      <c r="S240" s="11"/>
      <c r="T240" s="11"/>
      <c r="U240" s="11"/>
    </row>
    <row r="241" spans="1:21" x14ac:dyDescent="0.2">
      <c r="A241" s="10"/>
      <c r="B241" s="14"/>
      <c r="K241" s="11"/>
      <c r="R241" s="11"/>
      <c r="S241" s="11"/>
      <c r="T241" s="11"/>
      <c r="U241" s="11"/>
    </row>
    <row r="242" spans="1:21" x14ac:dyDescent="0.2">
      <c r="A242" s="10"/>
      <c r="B242" s="14"/>
      <c r="K242" s="11"/>
      <c r="R242" s="11"/>
      <c r="S242" s="11"/>
      <c r="T242" s="11"/>
      <c r="U242" s="11"/>
    </row>
    <row r="243" spans="1:21" x14ac:dyDescent="0.2">
      <c r="A243" s="10"/>
      <c r="B243" s="14"/>
      <c r="K243" s="11"/>
      <c r="R243" s="11"/>
      <c r="S243" s="11"/>
      <c r="T243" s="11"/>
      <c r="U243" s="11"/>
    </row>
    <row r="244" spans="1:21" x14ac:dyDescent="0.2">
      <c r="A244" s="10"/>
      <c r="B244" s="14"/>
      <c r="K244" s="11"/>
      <c r="R244" s="11"/>
      <c r="S244" s="11"/>
      <c r="T244" s="11"/>
      <c r="U244" s="11"/>
    </row>
    <row r="245" spans="1:21" x14ac:dyDescent="0.2">
      <c r="A245" s="10"/>
      <c r="B245" s="14"/>
      <c r="K245" s="11"/>
      <c r="R245" s="11"/>
      <c r="S245" s="11"/>
      <c r="T245" s="11"/>
      <c r="U245" s="11"/>
    </row>
    <row r="246" spans="1:21" x14ac:dyDescent="0.2">
      <c r="A246" s="10"/>
      <c r="B246" s="14"/>
      <c r="K246" s="11"/>
      <c r="R246" s="11"/>
      <c r="S246" s="11"/>
      <c r="T246" s="11"/>
      <c r="U246" s="11"/>
    </row>
    <row r="247" spans="1:21" x14ac:dyDescent="0.2">
      <c r="A247" s="10"/>
      <c r="B247" s="14"/>
      <c r="K247" s="11"/>
      <c r="R247" s="11"/>
      <c r="S247" s="11"/>
      <c r="T247" s="11"/>
      <c r="U247" s="11"/>
    </row>
    <row r="248" spans="1:21" x14ac:dyDescent="0.2">
      <c r="A248" s="10"/>
      <c r="B248" s="14"/>
      <c r="K248" s="11"/>
      <c r="R248" s="11"/>
      <c r="S248" s="11"/>
      <c r="T248" s="11"/>
      <c r="U248" s="11"/>
    </row>
    <row r="249" spans="1:21" x14ac:dyDescent="0.2">
      <c r="A249" s="10"/>
      <c r="B249" s="14"/>
      <c r="K249" s="11"/>
      <c r="R249" s="11"/>
      <c r="S249" s="11"/>
      <c r="T249" s="11"/>
      <c r="U249" s="11"/>
    </row>
    <row r="250" spans="1:21" x14ac:dyDescent="0.2">
      <c r="A250" s="10"/>
      <c r="B250" s="14"/>
      <c r="R250" s="11"/>
      <c r="S250" s="11"/>
      <c r="T250" s="11"/>
      <c r="U250" s="11"/>
    </row>
    <row r="251" spans="1:21" x14ac:dyDescent="0.2">
      <c r="A251" s="10"/>
      <c r="B251" s="14"/>
      <c r="R251" s="11"/>
      <c r="S251" s="11"/>
      <c r="T251" s="11"/>
      <c r="U251" s="11"/>
    </row>
    <row r="252" spans="1:21" x14ac:dyDescent="0.2">
      <c r="A252" s="10"/>
      <c r="B252" s="14"/>
      <c r="R252" s="11"/>
      <c r="S252" s="11"/>
      <c r="T252" s="11"/>
      <c r="U252" s="11"/>
    </row>
    <row r="253" spans="1:21" x14ac:dyDescent="0.2">
      <c r="A253" s="10"/>
      <c r="B253" s="14"/>
      <c r="R253" s="11"/>
      <c r="S253" s="11"/>
      <c r="T253" s="11"/>
      <c r="U253" s="11"/>
    </row>
    <row r="254" spans="1:21" x14ac:dyDescent="0.2">
      <c r="A254" s="10"/>
      <c r="B254" s="14"/>
      <c r="R254" s="11"/>
      <c r="S254" s="11"/>
      <c r="T254" s="11"/>
      <c r="U254" s="11"/>
    </row>
    <row r="255" spans="1:21" x14ac:dyDescent="0.2">
      <c r="A255" s="10"/>
      <c r="B255" s="14"/>
      <c r="R255" s="11"/>
      <c r="S255" s="11"/>
      <c r="T255" s="11"/>
      <c r="U255" s="11"/>
    </row>
    <row r="256" spans="1:21" x14ac:dyDescent="0.2">
      <c r="A256" s="10"/>
      <c r="B256" s="14"/>
      <c r="R256" s="11"/>
      <c r="S256" s="11"/>
      <c r="T256" s="11"/>
      <c r="U256" s="11"/>
    </row>
    <row r="257" spans="1:21" x14ac:dyDescent="0.2">
      <c r="A257" s="10"/>
      <c r="B257" s="14"/>
      <c r="R257" s="11"/>
      <c r="S257" s="11"/>
      <c r="T257" s="11"/>
      <c r="U257" s="11"/>
    </row>
    <row r="258" spans="1:21" x14ac:dyDescent="0.2">
      <c r="A258" s="10"/>
      <c r="B258" s="14"/>
      <c r="R258" s="11"/>
      <c r="S258" s="11"/>
      <c r="T258" s="11"/>
      <c r="U258" s="11"/>
    </row>
    <row r="259" spans="1:21" x14ac:dyDescent="0.2">
      <c r="A259" s="10"/>
      <c r="B259" s="14"/>
      <c r="R259" s="11"/>
      <c r="S259" s="11"/>
      <c r="T259" s="11"/>
      <c r="U259" s="11"/>
    </row>
    <row r="260" spans="1:21" x14ac:dyDescent="0.2">
      <c r="A260" s="10"/>
      <c r="B260" s="14"/>
      <c r="R260" s="11"/>
      <c r="S260" s="11"/>
      <c r="T260" s="11"/>
      <c r="U260" s="11"/>
    </row>
    <row r="261" spans="1:21" x14ac:dyDescent="0.2">
      <c r="A261" s="10"/>
      <c r="B261" s="14"/>
      <c r="R261" s="11"/>
      <c r="S261" s="11"/>
      <c r="T261" s="11"/>
      <c r="U261" s="11"/>
    </row>
    <row r="262" spans="1:21" x14ac:dyDescent="0.2">
      <c r="A262" s="10"/>
      <c r="B262" s="14"/>
      <c r="R262" s="11"/>
      <c r="S262" s="11"/>
      <c r="T262" s="11"/>
      <c r="U262" s="11"/>
    </row>
    <row r="263" spans="1:21" x14ac:dyDescent="0.2">
      <c r="A263" s="10"/>
      <c r="B263" s="14"/>
      <c r="R263" s="11"/>
      <c r="S263" s="11"/>
      <c r="T263" s="11"/>
      <c r="U263" s="11"/>
    </row>
    <row r="264" spans="1:21" x14ac:dyDescent="0.2">
      <c r="A264" s="10"/>
      <c r="B264" s="14"/>
      <c r="R264" s="11"/>
      <c r="S264" s="11"/>
      <c r="T264" s="11"/>
      <c r="U264" s="11"/>
    </row>
    <row r="265" spans="1:21" x14ac:dyDescent="0.2">
      <c r="A265" s="10"/>
      <c r="B265" s="14"/>
      <c r="R265" s="11"/>
      <c r="S265" s="11"/>
      <c r="T265" s="11"/>
      <c r="U265" s="11"/>
    </row>
    <row r="266" spans="1:21" x14ac:dyDescent="0.2">
      <c r="A266" s="10"/>
      <c r="B266" s="14"/>
      <c r="R266" s="11"/>
      <c r="S266" s="11"/>
      <c r="T266" s="11"/>
      <c r="U266" s="11"/>
    </row>
    <row r="267" spans="1:21" x14ac:dyDescent="0.2">
      <c r="A267" s="10"/>
      <c r="B267" s="14"/>
      <c r="R267" s="11"/>
      <c r="S267" s="11"/>
      <c r="T267" s="11"/>
      <c r="U267" s="11"/>
    </row>
    <row r="268" spans="1:21" x14ac:dyDescent="0.2">
      <c r="A268" s="10"/>
      <c r="B268" s="14"/>
      <c r="R268" s="11"/>
      <c r="S268" s="11"/>
      <c r="T268" s="11"/>
      <c r="U268" s="11"/>
    </row>
    <row r="269" spans="1:21" x14ac:dyDescent="0.2">
      <c r="A269" s="10"/>
      <c r="B269" s="14"/>
      <c r="R269" s="11"/>
      <c r="S269" s="11"/>
      <c r="T269" s="11"/>
      <c r="U269" s="11"/>
    </row>
    <row r="270" spans="1:21" x14ac:dyDescent="0.2">
      <c r="A270" s="10"/>
      <c r="B270" s="14"/>
      <c r="R270" s="11"/>
      <c r="S270" s="11"/>
      <c r="T270" s="11"/>
      <c r="U270" s="11"/>
    </row>
    <row r="271" spans="1:21" x14ac:dyDescent="0.2">
      <c r="A271" s="10"/>
      <c r="B271" s="14"/>
      <c r="R271" s="11"/>
      <c r="S271" s="11"/>
      <c r="T271" s="11"/>
      <c r="U271" s="11"/>
    </row>
    <row r="272" spans="1:21" x14ac:dyDescent="0.2">
      <c r="A272" s="10"/>
      <c r="B272" s="14"/>
      <c r="R272" s="11"/>
      <c r="S272" s="11"/>
      <c r="T272" s="11"/>
      <c r="U272" s="11"/>
    </row>
    <row r="273" spans="1:21" x14ac:dyDescent="0.2">
      <c r="A273" s="10"/>
      <c r="B273" s="14"/>
      <c r="R273" s="11"/>
      <c r="S273" s="11"/>
      <c r="T273" s="11"/>
      <c r="U273" s="11"/>
    </row>
    <row r="274" spans="1:21" x14ac:dyDescent="0.2">
      <c r="A274" s="10"/>
      <c r="B274" s="14"/>
      <c r="R274" s="11"/>
      <c r="S274" s="11"/>
      <c r="T274" s="11"/>
      <c r="U274" s="11"/>
    </row>
    <row r="275" spans="1:21" x14ac:dyDescent="0.2">
      <c r="A275" s="10"/>
      <c r="B275" s="14"/>
      <c r="R275" s="11"/>
      <c r="S275" s="11"/>
      <c r="T275" s="11"/>
      <c r="U275" s="11"/>
    </row>
    <row r="276" spans="1:21" x14ac:dyDescent="0.2">
      <c r="A276" s="10"/>
      <c r="B276" s="14"/>
      <c r="R276" s="11"/>
      <c r="S276" s="11"/>
      <c r="T276" s="11"/>
      <c r="U276" s="11"/>
    </row>
    <row r="277" spans="1:21" x14ac:dyDescent="0.2">
      <c r="A277" s="10"/>
      <c r="B277" s="14"/>
      <c r="R277" s="11"/>
      <c r="S277" s="11"/>
      <c r="T277" s="11"/>
      <c r="U277" s="11"/>
    </row>
    <row r="278" spans="1:21" x14ac:dyDescent="0.2">
      <c r="A278" s="10"/>
      <c r="B278" s="14"/>
      <c r="R278" s="11"/>
      <c r="S278" s="11"/>
      <c r="T278" s="11"/>
      <c r="U278" s="11"/>
    </row>
    <row r="279" spans="1:21" x14ac:dyDescent="0.2">
      <c r="A279" s="10"/>
      <c r="B279" s="14"/>
      <c r="R279" s="11"/>
      <c r="S279" s="11"/>
      <c r="T279" s="11"/>
      <c r="U279" s="11"/>
    </row>
    <row r="280" spans="1:21" x14ac:dyDescent="0.2">
      <c r="A280" s="10"/>
      <c r="B280" s="14"/>
      <c r="R280" s="11"/>
      <c r="S280" s="11"/>
      <c r="T280" s="11"/>
      <c r="U280" s="11"/>
    </row>
    <row r="281" spans="1:21" x14ac:dyDescent="0.2">
      <c r="A281" s="10"/>
      <c r="B281" s="14"/>
      <c r="R281" s="11"/>
      <c r="S281" s="11"/>
      <c r="T281" s="11"/>
      <c r="U281" s="11"/>
    </row>
    <row r="282" spans="1:21" x14ac:dyDescent="0.2">
      <c r="A282" s="10"/>
      <c r="B282" s="14"/>
      <c r="R282" s="11"/>
      <c r="S282" s="11"/>
      <c r="T282" s="11"/>
      <c r="U282" s="11"/>
    </row>
    <row r="283" spans="1:21" x14ac:dyDescent="0.2">
      <c r="A283" s="10"/>
      <c r="B283" s="14"/>
      <c r="R283" s="11"/>
      <c r="S283" s="11"/>
      <c r="T283" s="11"/>
      <c r="U283" s="11"/>
    </row>
    <row r="284" spans="1:21" x14ac:dyDescent="0.2">
      <c r="A284" s="10"/>
      <c r="B284" s="14"/>
      <c r="R284" s="11"/>
      <c r="S284" s="11"/>
      <c r="T284" s="11"/>
      <c r="U284" s="11"/>
    </row>
    <row r="285" spans="1:21" x14ac:dyDescent="0.2">
      <c r="A285" s="10"/>
      <c r="B285" s="14"/>
      <c r="R285" s="11"/>
      <c r="S285" s="11"/>
      <c r="T285" s="11"/>
      <c r="U285" s="11"/>
    </row>
    <row r="286" spans="1:21" x14ac:dyDescent="0.2">
      <c r="A286" s="10"/>
      <c r="B286" s="14"/>
      <c r="R286" s="11"/>
      <c r="S286" s="11"/>
      <c r="T286" s="11"/>
      <c r="U286" s="11"/>
    </row>
    <row r="287" spans="1:21" x14ac:dyDescent="0.2">
      <c r="A287" s="10"/>
      <c r="B287" s="14"/>
      <c r="R287" s="11"/>
      <c r="S287" s="11"/>
      <c r="T287" s="11"/>
      <c r="U287" s="11"/>
    </row>
    <row r="288" spans="1:21" x14ac:dyDescent="0.2">
      <c r="A288" s="10"/>
      <c r="B288" s="14"/>
      <c r="R288" s="11"/>
      <c r="S288" s="11"/>
      <c r="T288" s="11"/>
      <c r="U288" s="11"/>
    </row>
    <row r="289" spans="1:21" x14ac:dyDescent="0.2">
      <c r="A289" s="10"/>
      <c r="B289" s="14"/>
      <c r="R289" s="11"/>
      <c r="S289" s="11"/>
      <c r="T289" s="11"/>
      <c r="U289" s="11"/>
    </row>
    <row r="290" spans="1:21" x14ac:dyDescent="0.2">
      <c r="A290" s="10"/>
      <c r="B290" s="14"/>
      <c r="R290" s="11"/>
      <c r="S290" s="11"/>
      <c r="T290" s="11"/>
      <c r="U290" s="11"/>
    </row>
    <row r="291" spans="1:21" x14ac:dyDescent="0.2">
      <c r="A291" s="10"/>
      <c r="B291" s="14"/>
      <c r="R291" s="11"/>
      <c r="S291" s="11"/>
      <c r="T291" s="11"/>
      <c r="U291" s="11"/>
    </row>
    <row r="292" spans="1:21" x14ac:dyDescent="0.2">
      <c r="A292" s="10"/>
      <c r="B292" s="14"/>
      <c r="R292" s="11"/>
      <c r="S292" s="11"/>
      <c r="T292" s="11"/>
      <c r="U292" s="11"/>
    </row>
    <row r="293" spans="1:21" x14ac:dyDescent="0.2">
      <c r="A293" s="10"/>
      <c r="B293" s="14"/>
      <c r="R293" s="11"/>
      <c r="S293" s="11"/>
      <c r="T293" s="11"/>
      <c r="U293" s="11"/>
    </row>
    <row r="294" spans="1:21" x14ac:dyDescent="0.2">
      <c r="A294" s="10"/>
      <c r="B294" s="14"/>
      <c r="R294" s="11"/>
      <c r="S294" s="11"/>
      <c r="T294" s="11"/>
      <c r="U294" s="11"/>
    </row>
    <row r="295" spans="1:21" x14ac:dyDescent="0.2">
      <c r="A295" s="10"/>
      <c r="B295" s="14"/>
      <c r="R295" s="11"/>
      <c r="S295" s="11"/>
      <c r="T295" s="11"/>
      <c r="U295" s="11"/>
    </row>
    <row r="296" spans="1:21" x14ac:dyDescent="0.2">
      <c r="A296" s="10"/>
      <c r="B296" s="14"/>
      <c r="R296" s="11"/>
      <c r="S296" s="11"/>
      <c r="T296" s="11"/>
      <c r="U296" s="11"/>
    </row>
    <row r="297" spans="1:21" x14ac:dyDescent="0.2">
      <c r="A297" s="10"/>
      <c r="B297" s="14"/>
      <c r="R297" s="11"/>
      <c r="S297" s="11"/>
      <c r="T297" s="11"/>
      <c r="U297" s="11"/>
    </row>
    <row r="298" spans="1:21" x14ac:dyDescent="0.2">
      <c r="A298" s="10"/>
      <c r="B298" s="14"/>
      <c r="R298" s="11"/>
      <c r="S298" s="11"/>
      <c r="T298" s="11"/>
      <c r="U298" s="11"/>
    </row>
    <row r="299" spans="1:21" x14ac:dyDescent="0.2">
      <c r="A299" s="10"/>
      <c r="B299" s="14"/>
      <c r="R299" s="11"/>
      <c r="S299" s="11"/>
      <c r="T299" s="11"/>
      <c r="U299" s="11"/>
    </row>
    <row r="300" spans="1:21" x14ac:dyDescent="0.2">
      <c r="A300" s="10"/>
      <c r="B300" s="14"/>
      <c r="R300" s="11"/>
      <c r="S300" s="11"/>
      <c r="T300" s="11"/>
      <c r="U300" s="11"/>
    </row>
    <row r="301" spans="1:21" x14ac:dyDescent="0.2">
      <c r="A301" s="10"/>
      <c r="B301" s="14"/>
      <c r="R301" s="11"/>
      <c r="S301" s="11"/>
      <c r="T301" s="11"/>
      <c r="U301" s="11"/>
    </row>
    <row r="302" spans="1:21" x14ac:dyDescent="0.2">
      <c r="A302" s="10"/>
      <c r="B302" s="14"/>
      <c r="R302" s="11"/>
      <c r="S302" s="11"/>
      <c r="T302" s="11"/>
      <c r="U302" s="11"/>
    </row>
    <row r="303" spans="1:21" x14ac:dyDescent="0.2">
      <c r="A303" s="10"/>
      <c r="B303" s="14"/>
      <c r="R303" s="11"/>
      <c r="S303" s="11"/>
      <c r="T303" s="11"/>
      <c r="U303" s="11"/>
    </row>
    <row r="304" spans="1:21" x14ac:dyDescent="0.2">
      <c r="A304" s="10"/>
      <c r="B304" s="14"/>
      <c r="R304" s="11"/>
      <c r="S304" s="11"/>
      <c r="T304" s="11"/>
      <c r="U304" s="11"/>
    </row>
    <row r="305" spans="1:21" x14ac:dyDescent="0.2">
      <c r="A305" s="10"/>
      <c r="B305" s="14"/>
      <c r="R305" s="11"/>
      <c r="S305" s="11"/>
      <c r="T305" s="11"/>
      <c r="U305" s="11"/>
    </row>
    <row r="306" spans="1:21" x14ac:dyDescent="0.2">
      <c r="A306" s="10"/>
      <c r="B306" s="14"/>
      <c r="R306" s="11"/>
      <c r="S306" s="11"/>
      <c r="T306" s="11"/>
      <c r="U306" s="11"/>
    </row>
    <row r="307" spans="1:21" x14ac:dyDescent="0.2">
      <c r="A307" s="10"/>
      <c r="B307" s="14"/>
      <c r="R307" s="11"/>
      <c r="S307" s="11"/>
      <c r="T307" s="11"/>
      <c r="U307" s="11"/>
    </row>
    <row r="308" spans="1:21" x14ac:dyDescent="0.2">
      <c r="A308" s="10"/>
      <c r="B308" s="14"/>
      <c r="R308" s="11"/>
      <c r="S308" s="11"/>
      <c r="T308" s="11"/>
      <c r="U308" s="11"/>
    </row>
    <row r="309" spans="1:21" x14ac:dyDescent="0.2">
      <c r="A309" s="10"/>
      <c r="B309" s="14"/>
      <c r="R309" s="11"/>
      <c r="S309" s="11"/>
      <c r="T309" s="11"/>
      <c r="U309" s="11"/>
    </row>
    <row r="310" spans="1:21" x14ac:dyDescent="0.2">
      <c r="A310" s="10"/>
      <c r="B310" s="14"/>
      <c r="R310" s="11"/>
      <c r="S310" s="11"/>
      <c r="T310" s="11"/>
      <c r="U310" s="11"/>
    </row>
    <row r="311" spans="1:21" x14ac:dyDescent="0.2">
      <c r="A311" s="10"/>
      <c r="B311" s="14"/>
      <c r="R311" s="11"/>
      <c r="S311" s="11"/>
      <c r="T311" s="11"/>
      <c r="U311" s="11"/>
    </row>
    <row r="312" spans="1:21" x14ac:dyDescent="0.2">
      <c r="A312" s="10"/>
      <c r="B312" s="14"/>
      <c r="R312" s="11"/>
      <c r="S312" s="11"/>
      <c r="T312" s="11"/>
      <c r="U312" s="11"/>
    </row>
    <row r="313" spans="1:21" x14ac:dyDescent="0.2">
      <c r="A313" s="10"/>
      <c r="B313" s="14"/>
      <c r="R313" s="11"/>
      <c r="S313" s="11"/>
      <c r="T313" s="11"/>
      <c r="U313" s="11"/>
    </row>
    <row r="314" spans="1:21" x14ac:dyDescent="0.2">
      <c r="A314" s="10"/>
      <c r="B314" s="14"/>
      <c r="R314" s="11"/>
      <c r="S314" s="11"/>
      <c r="T314" s="11"/>
      <c r="U314" s="11"/>
    </row>
    <row r="315" spans="1:21" x14ac:dyDescent="0.2">
      <c r="A315" s="10"/>
      <c r="B315" s="14"/>
      <c r="R315" s="11"/>
      <c r="S315" s="11"/>
      <c r="T315" s="11"/>
      <c r="U315" s="11"/>
    </row>
    <row r="316" spans="1:21" x14ac:dyDescent="0.2">
      <c r="A316" s="10"/>
      <c r="B316" s="14"/>
      <c r="R316" s="11"/>
      <c r="S316" s="11"/>
      <c r="T316" s="11"/>
      <c r="U316" s="11"/>
    </row>
    <row r="317" spans="1:21" x14ac:dyDescent="0.2">
      <c r="A317" s="10"/>
      <c r="B317" s="14"/>
      <c r="R317" s="11"/>
      <c r="S317" s="11"/>
      <c r="T317" s="11"/>
      <c r="U317" s="11"/>
    </row>
    <row r="318" spans="1:21" x14ac:dyDescent="0.2">
      <c r="A318" s="10"/>
      <c r="B318" s="14"/>
      <c r="R318" s="11"/>
      <c r="S318" s="11"/>
      <c r="T318" s="11"/>
      <c r="U318" s="11"/>
    </row>
    <row r="319" spans="1:21" x14ac:dyDescent="0.2">
      <c r="A319" s="10"/>
      <c r="B319" s="14"/>
      <c r="R319" s="11"/>
      <c r="S319" s="11"/>
      <c r="T319" s="11"/>
      <c r="U319" s="11"/>
    </row>
    <row r="320" spans="1:21" x14ac:dyDescent="0.2">
      <c r="A320" s="10"/>
      <c r="B320" s="14"/>
      <c r="R320" s="11"/>
      <c r="S320" s="11"/>
      <c r="T320" s="11"/>
      <c r="U320" s="11"/>
    </row>
    <row r="321" spans="1:21" x14ac:dyDescent="0.2">
      <c r="A321" s="10"/>
      <c r="B321" s="14"/>
      <c r="R321" s="11"/>
      <c r="S321" s="11"/>
      <c r="T321" s="11"/>
      <c r="U321" s="11"/>
    </row>
    <row r="322" spans="1:21" x14ac:dyDescent="0.2">
      <c r="A322" s="10"/>
      <c r="B322" s="14"/>
      <c r="R322" s="11"/>
      <c r="S322" s="11"/>
      <c r="T322" s="11"/>
      <c r="U322" s="11"/>
    </row>
    <row r="323" spans="1:21" x14ac:dyDescent="0.2">
      <c r="A323" s="10"/>
      <c r="B323" s="14"/>
      <c r="R323" s="11"/>
      <c r="S323" s="11"/>
      <c r="T323" s="11"/>
      <c r="U323" s="11"/>
    </row>
    <row r="324" spans="1:21" x14ac:dyDescent="0.2">
      <c r="A324" s="10"/>
      <c r="B324" s="14"/>
      <c r="R324" s="11"/>
      <c r="S324" s="11"/>
      <c r="T324" s="11"/>
      <c r="U324" s="11"/>
    </row>
    <row r="325" spans="1:21" x14ac:dyDescent="0.2">
      <c r="A325" s="10"/>
      <c r="B325" s="14"/>
      <c r="R325" s="11"/>
      <c r="S325" s="11"/>
      <c r="T325" s="11"/>
      <c r="U325" s="11"/>
    </row>
    <row r="326" spans="1:21" x14ac:dyDescent="0.2">
      <c r="A326" s="10"/>
      <c r="B326" s="14"/>
      <c r="R326" s="11"/>
      <c r="S326" s="11"/>
      <c r="T326" s="11"/>
      <c r="U326" s="11"/>
    </row>
    <row r="327" spans="1:21" x14ac:dyDescent="0.2">
      <c r="A327" s="10"/>
      <c r="B327" s="14"/>
      <c r="R327" s="11"/>
      <c r="S327" s="11"/>
      <c r="T327" s="11"/>
      <c r="U327" s="11"/>
    </row>
    <row r="328" spans="1:21" x14ac:dyDescent="0.2">
      <c r="A328" s="10"/>
      <c r="B328" s="14"/>
      <c r="R328" s="11"/>
      <c r="S328" s="11"/>
      <c r="T328" s="11"/>
      <c r="U328" s="11"/>
    </row>
    <row r="329" spans="1:21" x14ac:dyDescent="0.2">
      <c r="A329" s="10"/>
      <c r="B329" s="14"/>
      <c r="R329" s="11"/>
      <c r="S329" s="11"/>
      <c r="T329" s="11"/>
      <c r="U329" s="11"/>
    </row>
    <row r="330" spans="1:21" x14ac:dyDescent="0.2">
      <c r="A330" s="10"/>
      <c r="B330" s="14"/>
      <c r="R330" s="11"/>
      <c r="S330" s="11"/>
      <c r="T330" s="11"/>
      <c r="U330" s="11"/>
    </row>
    <row r="331" spans="1:21" x14ac:dyDescent="0.2">
      <c r="A331" s="10"/>
      <c r="B331" s="14"/>
      <c r="R331" s="11"/>
      <c r="S331" s="11"/>
      <c r="T331" s="11"/>
      <c r="U331" s="11"/>
    </row>
    <row r="332" spans="1:21" x14ac:dyDescent="0.2">
      <c r="A332" s="10"/>
      <c r="B332" s="14"/>
      <c r="R332" s="11"/>
      <c r="S332" s="11"/>
      <c r="T332" s="11"/>
      <c r="U332" s="11"/>
    </row>
    <row r="333" spans="1:21" x14ac:dyDescent="0.2">
      <c r="A333" s="10"/>
      <c r="B333" s="14"/>
      <c r="R333" s="11"/>
      <c r="S333" s="11"/>
      <c r="T333" s="11"/>
      <c r="U333" s="11"/>
    </row>
    <row r="334" spans="1:21" x14ac:dyDescent="0.2">
      <c r="A334" s="10"/>
      <c r="B334" s="14"/>
      <c r="R334" s="11"/>
      <c r="S334" s="11"/>
      <c r="T334" s="11"/>
      <c r="U334" s="11"/>
    </row>
    <row r="335" spans="1:21" x14ac:dyDescent="0.2">
      <c r="A335" s="10"/>
      <c r="B335" s="14"/>
      <c r="R335" s="11"/>
      <c r="S335" s="11"/>
      <c r="T335" s="11"/>
      <c r="U335" s="11"/>
    </row>
    <row r="336" spans="1:21" x14ac:dyDescent="0.2">
      <c r="A336" s="10"/>
      <c r="B336" s="14"/>
      <c r="R336" s="11"/>
      <c r="S336" s="11"/>
      <c r="T336" s="11"/>
      <c r="U336" s="11"/>
    </row>
    <row r="337" spans="1:21" x14ac:dyDescent="0.2">
      <c r="A337" s="10"/>
      <c r="B337" s="14"/>
      <c r="R337" s="11"/>
      <c r="S337" s="11"/>
      <c r="T337" s="11"/>
      <c r="U337" s="11"/>
    </row>
    <row r="338" spans="1:21" x14ac:dyDescent="0.2">
      <c r="A338" s="10"/>
      <c r="B338" s="14"/>
      <c r="R338" s="11"/>
      <c r="S338" s="11"/>
      <c r="T338" s="11"/>
      <c r="U338" s="11"/>
    </row>
    <row r="339" spans="1:21" x14ac:dyDescent="0.2">
      <c r="A339" s="10"/>
      <c r="B339" s="14"/>
      <c r="R339" s="11"/>
      <c r="S339" s="11"/>
      <c r="T339" s="11"/>
      <c r="U339" s="11"/>
    </row>
    <row r="340" spans="1:21" x14ac:dyDescent="0.2">
      <c r="A340" s="10"/>
      <c r="B340" s="14"/>
      <c r="R340" s="11"/>
      <c r="S340" s="11"/>
      <c r="T340" s="11"/>
      <c r="U340" s="11"/>
    </row>
    <row r="341" spans="1:21" x14ac:dyDescent="0.2">
      <c r="A341" s="10"/>
      <c r="B341" s="14"/>
      <c r="R341" s="11"/>
      <c r="S341" s="11"/>
      <c r="T341" s="11"/>
      <c r="U341" s="11"/>
    </row>
    <row r="342" spans="1:21" x14ac:dyDescent="0.2">
      <c r="A342" s="10"/>
      <c r="B342" s="14"/>
      <c r="R342" s="11"/>
      <c r="S342" s="11"/>
      <c r="T342" s="11"/>
      <c r="U342" s="11"/>
    </row>
    <row r="343" spans="1:21" x14ac:dyDescent="0.2">
      <c r="A343" s="10"/>
      <c r="B343" s="14"/>
      <c r="R343" s="11"/>
      <c r="S343" s="11"/>
      <c r="T343" s="11"/>
      <c r="U343" s="11"/>
    </row>
    <row r="344" spans="1:21" x14ac:dyDescent="0.2">
      <c r="A344" s="10"/>
      <c r="B344" s="14"/>
      <c r="R344" s="11"/>
      <c r="S344" s="11"/>
      <c r="T344" s="11"/>
      <c r="U344" s="11"/>
    </row>
    <row r="345" spans="1:21" x14ac:dyDescent="0.2">
      <c r="A345" s="10"/>
      <c r="B345" s="14"/>
      <c r="R345" s="11"/>
      <c r="S345" s="11"/>
      <c r="T345" s="11"/>
      <c r="U345" s="11"/>
    </row>
    <row r="346" spans="1:21" x14ac:dyDescent="0.2">
      <c r="A346" s="10"/>
      <c r="B346" s="14"/>
      <c r="R346" s="11"/>
      <c r="S346" s="11"/>
      <c r="T346" s="11"/>
      <c r="U346" s="11"/>
    </row>
    <row r="347" spans="1:21" x14ac:dyDescent="0.2">
      <c r="A347" s="10"/>
      <c r="B347" s="14"/>
      <c r="R347" s="11"/>
      <c r="S347" s="11"/>
      <c r="T347" s="11"/>
      <c r="U347" s="11"/>
    </row>
    <row r="348" spans="1:21" x14ac:dyDescent="0.2">
      <c r="A348" s="10"/>
      <c r="B348" s="14"/>
      <c r="R348" s="11"/>
      <c r="S348" s="11"/>
      <c r="T348" s="11"/>
      <c r="U348" s="11"/>
    </row>
    <row r="349" spans="1:21" x14ac:dyDescent="0.2">
      <c r="A349" s="10"/>
      <c r="B349" s="14"/>
      <c r="R349" s="11"/>
      <c r="S349" s="11"/>
      <c r="T349" s="11"/>
      <c r="U349" s="11"/>
    </row>
    <row r="350" spans="1:21" x14ac:dyDescent="0.2">
      <c r="A350" s="10"/>
      <c r="B350" s="14"/>
      <c r="R350" s="11"/>
      <c r="S350" s="11"/>
      <c r="T350" s="11"/>
      <c r="U350" s="11"/>
    </row>
    <row r="351" spans="1:21" x14ac:dyDescent="0.2">
      <c r="A351" s="10"/>
      <c r="B351" s="14"/>
      <c r="R351" s="11"/>
      <c r="S351" s="11"/>
      <c r="T351" s="11"/>
      <c r="U351" s="11"/>
    </row>
    <row r="352" spans="1:21" x14ac:dyDescent="0.2">
      <c r="A352" s="10"/>
      <c r="B352" s="14"/>
      <c r="R352" s="11"/>
      <c r="S352" s="11"/>
      <c r="T352" s="11"/>
      <c r="U352" s="11"/>
    </row>
    <row r="353" spans="1:21" x14ac:dyDescent="0.2">
      <c r="A353" s="10"/>
      <c r="B353" s="14"/>
      <c r="R353" s="11"/>
      <c r="S353" s="11"/>
      <c r="T353" s="11"/>
      <c r="U353" s="11"/>
    </row>
    <row r="354" spans="1:21" x14ac:dyDescent="0.2">
      <c r="A354" s="10"/>
      <c r="B354" s="14"/>
      <c r="R354" s="11"/>
      <c r="S354" s="11"/>
      <c r="T354" s="11"/>
      <c r="U354" s="11"/>
    </row>
    <row r="355" spans="1:21" x14ac:dyDescent="0.2">
      <c r="A355" s="10"/>
      <c r="B355" s="14"/>
      <c r="R355" s="11"/>
      <c r="S355" s="11"/>
      <c r="T355" s="11"/>
      <c r="U355" s="11"/>
    </row>
    <row r="356" spans="1:21" x14ac:dyDescent="0.2">
      <c r="A356" s="10"/>
      <c r="B356" s="14"/>
      <c r="R356" s="11"/>
      <c r="S356" s="11"/>
      <c r="T356" s="11"/>
      <c r="U356" s="11"/>
    </row>
    <row r="357" spans="1:21" x14ac:dyDescent="0.2">
      <c r="A357" s="10"/>
      <c r="B357" s="14"/>
      <c r="R357" s="11"/>
      <c r="S357" s="11"/>
      <c r="T357" s="11"/>
      <c r="U357" s="11"/>
    </row>
    <row r="358" spans="1:21" x14ac:dyDescent="0.2">
      <c r="A358" s="10"/>
      <c r="B358" s="14"/>
      <c r="R358" s="11"/>
      <c r="S358" s="11"/>
      <c r="T358" s="11"/>
      <c r="U358" s="11"/>
    </row>
    <row r="359" spans="1:21" x14ac:dyDescent="0.2">
      <c r="A359" s="10"/>
      <c r="B359" s="14"/>
      <c r="R359" s="11"/>
      <c r="S359" s="11"/>
      <c r="T359" s="11"/>
      <c r="U359" s="11"/>
    </row>
    <row r="360" spans="1:21" x14ac:dyDescent="0.2">
      <c r="A360" s="10"/>
      <c r="B360" s="14"/>
      <c r="R360" s="11"/>
      <c r="S360" s="11"/>
      <c r="T360" s="11"/>
      <c r="U360" s="11"/>
    </row>
    <row r="361" spans="1:21" x14ac:dyDescent="0.2">
      <c r="A361" s="10"/>
      <c r="B361" s="14"/>
      <c r="R361" s="11"/>
      <c r="S361" s="11"/>
      <c r="T361" s="11"/>
      <c r="U361" s="11"/>
    </row>
    <row r="362" spans="1:21" x14ac:dyDescent="0.2">
      <c r="A362" s="10"/>
      <c r="B362" s="14"/>
      <c r="R362" s="11"/>
      <c r="S362" s="11"/>
      <c r="T362" s="11"/>
      <c r="U362" s="11"/>
    </row>
    <row r="363" spans="1:21" x14ac:dyDescent="0.2">
      <c r="A363" s="10"/>
      <c r="B363" s="14"/>
      <c r="R363" s="11"/>
      <c r="S363" s="11"/>
      <c r="T363" s="11"/>
      <c r="U363" s="11"/>
    </row>
    <row r="364" spans="1:21" x14ac:dyDescent="0.2">
      <c r="A364" s="10"/>
      <c r="B364" s="14"/>
      <c r="R364" s="11"/>
      <c r="S364" s="11"/>
      <c r="T364" s="11"/>
      <c r="U364" s="11"/>
    </row>
    <row r="365" spans="1:21" x14ac:dyDescent="0.2">
      <c r="A365" s="10"/>
      <c r="B365" s="14"/>
      <c r="R365" s="11"/>
      <c r="S365" s="11"/>
      <c r="T365" s="11"/>
      <c r="U365" s="11"/>
    </row>
    <row r="366" spans="1:21" x14ac:dyDescent="0.2">
      <c r="A366" s="10"/>
      <c r="B366" s="14"/>
      <c r="R366" s="11"/>
      <c r="S366" s="11"/>
      <c r="T366" s="11"/>
      <c r="U366" s="11"/>
    </row>
    <row r="367" spans="1:21" x14ac:dyDescent="0.2">
      <c r="A367" s="10"/>
      <c r="B367" s="14"/>
      <c r="R367" s="11"/>
      <c r="S367" s="11"/>
      <c r="T367" s="11"/>
      <c r="U367" s="11"/>
    </row>
    <row r="368" spans="1:21" x14ac:dyDescent="0.2">
      <c r="A368" s="10"/>
      <c r="B368" s="14"/>
      <c r="R368" s="11"/>
      <c r="S368" s="11"/>
      <c r="T368" s="11"/>
      <c r="U368" s="11"/>
    </row>
    <row r="369" spans="1:21" x14ac:dyDescent="0.2">
      <c r="A369" s="10"/>
      <c r="B369" s="14"/>
      <c r="R369" s="11"/>
      <c r="S369" s="11"/>
      <c r="T369" s="11"/>
      <c r="U369" s="11"/>
    </row>
    <row r="370" spans="1:21" x14ac:dyDescent="0.2">
      <c r="A370" s="10"/>
      <c r="B370" s="14"/>
      <c r="R370" s="11"/>
      <c r="S370" s="11"/>
      <c r="T370" s="11"/>
      <c r="U370" s="11"/>
    </row>
    <row r="371" spans="1:21" x14ac:dyDescent="0.2">
      <c r="A371" s="10"/>
      <c r="B371" s="14"/>
      <c r="R371" s="11"/>
      <c r="S371" s="11"/>
      <c r="T371" s="11"/>
      <c r="U371" s="11"/>
    </row>
    <row r="372" spans="1:21" x14ac:dyDescent="0.2">
      <c r="A372" s="10"/>
      <c r="B372" s="14"/>
      <c r="R372" s="11"/>
      <c r="S372" s="11"/>
      <c r="T372" s="11"/>
      <c r="U372" s="11"/>
    </row>
    <row r="373" spans="1:21" x14ac:dyDescent="0.2">
      <c r="A373" s="10"/>
      <c r="B373" s="14"/>
      <c r="R373" s="11"/>
      <c r="S373" s="11"/>
      <c r="T373" s="11"/>
      <c r="U373" s="11"/>
    </row>
    <row r="374" spans="1:21" x14ac:dyDescent="0.2">
      <c r="A374" s="10"/>
      <c r="B374" s="14"/>
      <c r="R374" s="11"/>
      <c r="S374" s="11"/>
      <c r="T374" s="11"/>
      <c r="U374" s="11"/>
    </row>
    <row r="375" spans="1:21" x14ac:dyDescent="0.2">
      <c r="A375" s="10"/>
      <c r="B375" s="14"/>
      <c r="R375" s="11"/>
      <c r="S375" s="11"/>
      <c r="T375" s="11"/>
      <c r="U375" s="11"/>
    </row>
    <row r="376" spans="1:21" x14ac:dyDescent="0.2">
      <c r="A376" s="10"/>
      <c r="B376" s="14"/>
      <c r="R376" s="11"/>
      <c r="S376" s="11"/>
      <c r="T376" s="11"/>
      <c r="U376" s="11"/>
    </row>
    <row r="377" spans="1:21" x14ac:dyDescent="0.2">
      <c r="A377" s="10"/>
      <c r="B377" s="14"/>
      <c r="R377" s="11"/>
      <c r="S377" s="11"/>
      <c r="T377" s="11"/>
      <c r="U377" s="11"/>
    </row>
    <row r="378" spans="1:21" x14ac:dyDescent="0.2">
      <c r="A378" s="10"/>
      <c r="B378" s="14"/>
      <c r="R378" s="11"/>
      <c r="S378" s="11"/>
      <c r="T378" s="11"/>
      <c r="U378" s="11"/>
    </row>
    <row r="379" spans="1:21" x14ac:dyDescent="0.2">
      <c r="A379" s="10"/>
      <c r="B379" s="14"/>
      <c r="R379" s="11"/>
      <c r="S379" s="11"/>
      <c r="T379" s="11"/>
      <c r="U379" s="11"/>
    </row>
    <row r="380" spans="1:21" x14ac:dyDescent="0.2">
      <c r="A380" s="10"/>
      <c r="B380" s="14"/>
      <c r="R380" s="11"/>
      <c r="S380" s="11"/>
      <c r="T380" s="11"/>
      <c r="U380" s="11"/>
    </row>
    <row r="381" spans="1:21" x14ac:dyDescent="0.2">
      <c r="A381" s="10"/>
      <c r="B381" s="14"/>
      <c r="R381" s="11"/>
      <c r="S381" s="11"/>
      <c r="T381" s="11"/>
      <c r="U381" s="11"/>
    </row>
    <row r="382" spans="1:21" x14ac:dyDescent="0.2">
      <c r="A382" s="10"/>
      <c r="B382" s="14"/>
      <c r="R382" s="11"/>
      <c r="S382" s="11"/>
      <c r="T382" s="11"/>
      <c r="U382" s="11"/>
    </row>
    <row r="383" spans="1:21" x14ac:dyDescent="0.2">
      <c r="A383" s="10"/>
      <c r="B383" s="14"/>
      <c r="R383" s="11"/>
      <c r="S383" s="11"/>
      <c r="T383" s="11"/>
      <c r="U383" s="11"/>
    </row>
    <row r="384" spans="1:21" x14ac:dyDescent="0.2">
      <c r="A384" s="10"/>
      <c r="B384" s="14"/>
      <c r="R384" s="11"/>
      <c r="S384" s="11"/>
      <c r="T384" s="11"/>
      <c r="U384" s="11"/>
    </row>
    <row r="385" spans="1:21" x14ac:dyDescent="0.2">
      <c r="A385" s="10"/>
      <c r="B385" s="14"/>
      <c r="R385" s="11"/>
      <c r="S385" s="11"/>
      <c r="T385" s="11"/>
      <c r="U385" s="11"/>
    </row>
    <row r="386" spans="1:21" x14ac:dyDescent="0.2">
      <c r="A386" s="10"/>
      <c r="B386" s="14"/>
      <c r="R386" s="11"/>
      <c r="S386" s="11"/>
      <c r="T386" s="11"/>
      <c r="U386" s="11"/>
    </row>
    <row r="387" spans="1:21" x14ac:dyDescent="0.2">
      <c r="A387" s="10"/>
      <c r="B387" s="14"/>
      <c r="R387" s="11"/>
      <c r="S387" s="11"/>
      <c r="T387" s="11"/>
      <c r="U387" s="11"/>
    </row>
    <row r="388" spans="1:21" x14ac:dyDescent="0.2">
      <c r="A388" s="10"/>
      <c r="B388" s="14"/>
      <c r="R388" s="11"/>
      <c r="S388" s="11"/>
      <c r="T388" s="11"/>
      <c r="U388" s="11"/>
    </row>
    <row r="389" spans="1:21" x14ac:dyDescent="0.2">
      <c r="A389" s="10"/>
      <c r="B389" s="14"/>
      <c r="R389" s="11"/>
      <c r="S389" s="11"/>
      <c r="T389" s="11"/>
      <c r="U389" s="11"/>
    </row>
    <row r="390" spans="1:21" x14ac:dyDescent="0.2">
      <c r="A390" s="10"/>
      <c r="B390" s="14"/>
      <c r="R390" s="11"/>
      <c r="S390" s="11"/>
      <c r="T390" s="11"/>
      <c r="U390" s="11"/>
    </row>
    <row r="391" spans="1:21" x14ac:dyDescent="0.2">
      <c r="A391" s="10"/>
      <c r="B391" s="14"/>
      <c r="R391" s="11"/>
      <c r="S391" s="11"/>
      <c r="T391" s="11"/>
      <c r="U391" s="11"/>
    </row>
    <row r="392" spans="1:21" x14ac:dyDescent="0.2">
      <c r="A392" s="10"/>
      <c r="B392" s="14"/>
      <c r="R392" s="11"/>
      <c r="S392" s="11"/>
      <c r="T392" s="11"/>
      <c r="U392" s="11"/>
    </row>
    <row r="393" spans="1:21" x14ac:dyDescent="0.2">
      <c r="A393" s="10"/>
      <c r="B393" s="14"/>
      <c r="R393" s="11"/>
      <c r="S393" s="11"/>
      <c r="T393" s="11"/>
      <c r="U393" s="11"/>
    </row>
    <row r="394" spans="1:21" x14ac:dyDescent="0.2">
      <c r="A394" s="10"/>
      <c r="B394" s="14"/>
      <c r="R394" s="11"/>
      <c r="S394" s="11"/>
      <c r="T394" s="11"/>
      <c r="U394" s="11"/>
    </row>
    <row r="395" spans="1:21" x14ac:dyDescent="0.2">
      <c r="A395" s="10"/>
      <c r="B395" s="14"/>
      <c r="R395" s="11"/>
      <c r="S395" s="11"/>
      <c r="T395" s="11"/>
      <c r="U395" s="11"/>
    </row>
    <row r="396" spans="1:21" x14ac:dyDescent="0.2">
      <c r="A396" s="10"/>
      <c r="B396" s="14"/>
      <c r="R396" s="11"/>
      <c r="S396" s="11"/>
      <c r="T396" s="11"/>
      <c r="U396" s="11"/>
    </row>
    <row r="397" spans="1:21" x14ac:dyDescent="0.2">
      <c r="A397" s="10"/>
      <c r="B397" s="14"/>
      <c r="R397" s="11"/>
      <c r="S397" s="11"/>
      <c r="T397" s="11"/>
      <c r="U397" s="11"/>
    </row>
    <row r="398" spans="1:21" x14ac:dyDescent="0.2">
      <c r="A398" s="10"/>
      <c r="B398" s="14"/>
      <c r="R398" s="11"/>
      <c r="S398" s="11"/>
      <c r="T398" s="11"/>
      <c r="U398" s="11"/>
    </row>
    <row r="399" spans="1:21" x14ac:dyDescent="0.2">
      <c r="A399" s="10"/>
      <c r="B399" s="14"/>
      <c r="R399" s="11"/>
      <c r="S399" s="11"/>
      <c r="T399" s="11"/>
      <c r="U399" s="11"/>
    </row>
    <row r="400" spans="1:21" x14ac:dyDescent="0.2">
      <c r="A400" s="10"/>
      <c r="B400" s="14"/>
      <c r="R400" s="11"/>
      <c r="S400" s="11"/>
      <c r="T400" s="11"/>
      <c r="U400" s="11"/>
    </row>
    <row r="401" spans="1:21" x14ac:dyDescent="0.2">
      <c r="A401" s="10"/>
      <c r="B401" s="14"/>
      <c r="R401" s="11"/>
      <c r="S401" s="11"/>
      <c r="T401" s="11"/>
      <c r="U401" s="11"/>
    </row>
    <row r="402" spans="1:21" x14ac:dyDescent="0.2">
      <c r="A402" s="10"/>
      <c r="B402" s="14"/>
      <c r="R402" s="11"/>
      <c r="S402" s="11"/>
      <c r="T402" s="11"/>
      <c r="U402" s="11"/>
    </row>
    <row r="403" spans="1:21" x14ac:dyDescent="0.2">
      <c r="A403" s="10"/>
      <c r="B403" s="14"/>
      <c r="R403" s="11"/>
      <c r="S403" s="11"/>
      <c r="T403" s="11"/>
      <c r="U403" s="11"/>
    </row>
    <row r="404" spans="1:21" x14ac:dyDescent="0.2">
      <c r="A404" s="10"/>
      <c r="B404" s="14"/>
      <c r="R404" s="11"/>
      <c r="S404" s="11"/>
      <c r="T404" s="11"/>
      <c r="U404" s="11"/>
    </row>
    <row r="405" spans="1:21" x14ac:dyDescent="0.2">
      <c r="A405" s="10"/>
      <c r="B405" s="14"/>
      <c r="R405" s="11"/>
      <c r="S405" s="11"/>
      <c r="T405" s="11"/>
      <c r="U405" s="11"/>
    </row>
    <row r="406" spans="1:21" x14ac:dyDescent="0.2">
      <c r="A406" s="10"/>
      <c r="B406" s="14"/>
      <c r="R406" s="11"/>
      <c r="S406" s="11"/>
      <c r="T406" s="11"/>
      <c r="U406" s="11"/>
    </row>
    <row r="407" spans="1:21" x14ac:dyDescent="0.2">
      <c r="A407" s="10"/>
      <c r="B407" s="14"/>
      <c r="R407" s="11"/>
      <c r="S407" s="11"/>
      <c r="T407" s="11"/>
      <c r="U407" s="11"/>
    </row>
    <row r="408" spans="1:21" x14ac:dyDescent="0.2">
      <c r="A408" s="10"/>
      <c r="B408" s="14"/>
      <c r="R408" s="11"/>
      <c r="S408" s="11"/>
      <c r="T408" s="11"/>
      <c r="U408" s="11"/>
    </row>
    <row r="409" spans="1:21" x14ac:dyDescent="0.2">
      <c r="A409" s="10"/>
      <c r="B409" s="14"/>
      <c r="R409" s="11"/>
      <c r="S409" s="11"/>
      <c r="T409" s="11"/>
      <c r="U409" s="11"/>
    </row>
    <row r="410" spans="1:21" x14ac:dyDescent="0.2">
      <c r="A410" s="10"/>
      <c r="B410" s="14"/>
      <c r="R410" s="11"/>
      <c r="S410" s="11"/>
      <c r="T410" s="11"/>
      <c r="U410" s="11"/>
    </row>
    <row r="411" spans="1:21" x14ac:dyDescent="0.2">
      <c r="A411" s="10"/>
      <c r="B411" s="14"/>
      <c r="R411" s="11"/>
      <c r="S411" s="11"/>
      <c r="T411" s="11"/>
      <c r="U411" s="11"/>
    </row>
    <row r="412" spans="1:21" x14ac:dyDescent="0.2">
      <c r="A412" s="10"/>
      <c r="B412" s="14"/>
      <c r="R412" s="11"/>
      <c r="S412" s="11"/>
      <c r="T412" s="11"/>
      <c r="U412" s="11"/>
    </row>
    <row r="413" spans="1:21" x14ac:dyDescent="0.2">
      <c r="A413" s="10"/>
      <c r="B413" s="14"/>
      <c r="R413" s="11"/>
      <c r="S413" s="11"/>
      <c r="T413" s="11"/>
      <c r="U413" s="11"/>
    </row>
    <row r="414" spans="1:21" x14ac:dyDescent="0.2">
      <c r="A414" s="10"/>
      <c r="B414" s="14"/>
      <c r="R414" s="11"/>
      <c r="S414" s="11"/>
      <c r="T414" s="11"/>
      <c r="U414" s="11"/>
    </row>
    <row r="415" spans="1:21" x14ac:dyDescent="0.2">
      <c r="A415" s="10"/>
      <c r="B415" s="14"/>
      <c r="R415" s="11"/>
      <c r="S415" s="11"/>
      <c r="T415" s="11"/>
      <c r="U415" s="11"/>
    </row>
    <row r="416" spans="1:21" x14ac:dyDescent="0.2">
      <c r="A416" s="10"/>
      <c r="B416" s="14"/>
      <c r="R416" s="11"/>
      <c r="S416" s="11"/>
      <c r="T416" s="11"/>
      <c r="U416" s="11"/>
    </row>
    <row r="417" spans="1:21" x14ac:dyDescent="0.2">
      <c r="A417" s="10"/>
      <c r="B417" s="14"/>
      <c r="R417" s="11"/>
      <c r="S417" s="11"/>
      <c r="T417" s="11"/>
      <c r="U417" s="11"/>
    </row>
    <row r="418" spans="1:21" x14ac:dyDescent="0.2">
      <c r="A418" s="10"/>
      <c r="B418" s="14"/>
      <c r="R418" s="11"/>
      <c r="S418" s="11"/>
      <c r="T418" s="11"/>
      <c r="U418" s="11"/>
    </row>
    <row r="419" spans="1:21" x14ac:dyDescent="0.2">
      <c r="A419" s="10"/>
      <c r="B419" s="14"/>
      <c r="R419" s="11"/>
      <c r="S419" s="11"/>
      <c r="T419" s="11"/>
      <c r="U419" s="11"/>
    </row>
    <row r="420" spans="1:21" x14ac:dyDescent="0.2">
      <c r="A420" s="10"/>
      <c r="B420" s="14"/>
      <c r="R420" s="11"/>
      <c r="S420" s="11"/>
      <c r="T420" s="11"/>
      <c r="U420" s="11"/>
    </row>
    <row r="421" spans="1:21" x14ac:dyDescent="0.2">
      <c r="A421" s="10"/>
      <c r="B421" s="14"/>
      <c r="R421" s="11"/>
      <c r="S421" s="11"/>
      <c r="T421" s="11"/>
      <c r="U421" s="11"/>
    </row>
    <row r="422" spans="1:21" x14ac:dyDescent="0.2">
      <c r="A422" s="10"/>
      <c r="B422" s="14"/>
      <c r="R422" s="11"/>
      <c r="S422" s="11"/>
      <c r="T422" s="11"/>
      <c r="U422" s="11"/>
    </row>
    <row r="423" spans="1:21" x14ac:dyDescent="0.2">
      <c r="A423" s="10"/>
      <c r="B423" s="14"/>
      <c r="R423" s="11"/>
      <c r="S423" s="11"/>
      <c r="T423" s="11"/>
      <c r="U423" s="11"/>
    </row>
    <row r="424" spans="1:21" x14ac:dyDescent="0.2">
      <c r="A424" s="10"/>
      <c r="B424" s="14"/>
      <c r="R424" s="11"/>
      <c r="S424" s="11"/>
      <c r="T424" s="11"/>
      <c r="U424" s="11"/>
    </row>
    <row r="425" spans="1:21" x14ac:dyDescent="0.2">
      <c r="A425" s="10"/>
      <c r="B425" s="14"/>
      <c r="R425" s="11"/>
      <c r="S425" s="11"/>
      <c r="T425" s="11"/>
      <c r="U425" s="11"/>
    </row>
    <row r="426" spans="1:21" x14ac:dyDescent="0.2">
      <c r="A426" s="10"/>
      <c r="B426" s="14"/>
      <c r="R426" s="11"/>
      <c r="S426" s="11"/>
      <c r="T426" s="11"/>
      <c r="U426" s="11"/>
    </row>
    <row r="427" spans="1:21" x14ac:dyDescent="0.2">
      <c r="A427" s="10"/>
      <c r="B427" s="14"/>
      <c r="R427" s="11"/>
      <c r="S427" s="11"/>
      <c r="T427" s="11"/>
      <c r="U427" s="11"/>
    </row>
    <row r="428" spans="1:21" x14ac:dyDescent="0.2">
      <c r="A428" s="10"/>
      <c r="B428" s="14"/>
      <c r="R428" s="11"/>
      <c r="S428" s="11"/>
      <c r="T428" s="11"/>
      <c r="U428" s="11"/>
    </row>
    <row r="429" spans="1:21" x14ac:dyDescent="0.2">
      <c r="A429" s="10"/>
      <c r="B429" s="14"/>
      <c r="R429" s="11"/>
      <c r="S429" s="11"/>
      <c r="T429" s="11"/>
      <c r="U429" s="11"/>
    </row>
    <row r="430" spans="1:21" x14ac:dyDescent="0.2">
      <c r="A430" s="10"/>
      <c r="B430" s="14"/>
      <c r="R430" s="11"/>
      <c r="S430" s="11"/>
      <c r="T430" s="11"/>
      <c r="U430" s="11"/>
    </row>
    <row r="431" spans="1:21" x14ac:dyDescent="0.2">
      <c r="A431" s="10"/>
      <c r="B431" s="14"/>
      <c r="R431" s="11"/>
      <c r="S431" s="11"/>
      <c r="T431" s="11"/>
      <c r="U431" s="11"/>
    </row>
    <row r="432" spans="1:21" x14ac:dyDescent="0.2">
      <c r="A432" s="10"/>
      <c r="B432" s="14"/>
      <c r="R432" s="11"/>
      <c r="S432" s="11"/>
      <c r="T432" s="11"/>
      <c r="U432" s="11"/>
    </row>
    <row r="433" spans="1:21" x14ac:dyDescent="0.2">
      <c r="A433" s="10"/>
      <c r="B433" s="14"/>
      <c r="R433" s="11"/>
      <c r="S433" s="11"/>
      <c r="T433" s="11"/>
      <c r="U433" s="11"/>
    </row>
    <row r="434" spans="1:21" x14ac:dyDescent="0.2">
      <c r="A434" s="10"/>
      <c r="B434" s="14"/>
      <c r="R434" s="11"/>
      <c r="S434" s="11"/>
      <c r="T434" s="11"/>
      <c r="U434" s="11"/>
    </row>
    <row r="435" spans="1:21" x14ac:dyDescent="0.2">
      <c r="A435" s="10"/>
      <c r="B435" s="14"/>
      <c r="R435" s="11"/>
      <c r="S435" s="11"/>
      <c r="T435" s="11"/>
      <c r="U435" s="11"/>
    </row>
    <row r="436" spans="1:21" x14ac:dyDescent="0.2">
      <c r="A436" s="10"/>
      <c r="B436" s="14"/>
      <c r="R436" s="11"/>
      <c r="S436" s="11"/>
      <c r="T436" s="11"/>
      <c r="U436" s="11"/>
    </row>
    <row r="437" spans="1:21" x14ac:dyDescent="0.2">
      <c r="A437" s="10"/>
      <c r="B437" s="14"/>
      <c r="R437" s="11"/>
      <c r="S437" s="11"/>
      <c r="T437" s="11"/>
      <c r="U437" s="11"/>
    </row>
    <row r="438" spans="1:21" x14ac:dyDescent="0.2">
      <c r="A438" s="10"/>
      <c r="B438" s="14"/>
      <c r="R438" s="11"/>
      <c r="S438" s="11"/>
      <c r="T438" s="11"/>
      <c r="U438" s="11"/>
    </row>
    <row r="439" spans="1:21" x14ac:dyDescent="0.2">
      <c r="A439" s="10"/>
      <c r="B439" s="14"/>
      <c r="R439" s="11"/>
      <c r="S439" s="11"/>
      <c r="T439" s="11"/>
      <c r="U439" s="11"/>
    </row>
    <row r="440" spans="1:21" x14ac:dyDescent="0.2">
      <c r="A440" s="10"/>
      <c r="B440" s="14"/>
      <c r="R440" s="11"/>
      <c r="S440" s="11"/>
      <c r="T440" s="11"/>
      <c r="U440" s="11"/>
    </row>
    <row r="441" spans="1:21" x14ac:dyDescent="0.2">
      <c r="A441" s="10"/>
      <c r="B441" s="14"/>
      <c r="R441" s="11"/>
      <c r="S441" s="11"/>
      <c r="T441" s="11"/>
      <c r="U441" s="11"/>
    </row>
    <row r="442" spans="1:21" x14ac:dyDescent="0.2">
      <c r="A442" s="10"/>
      <c r="B442" s="14"/>
      <c r="R442" s="11"/>
      <c r="S442" s="11"/>
      <c r="T442" s="11"/>
      <c r="U442" s="11"/>
    </row>
    <row r="443" spans="1:21" x14ac:dyDescent="0.2">
      <c r="A443" s="10"/>
      <c r="B443" s="14"/>
      <c r="R443" s="11"/>
      <c r="S443" s="11"/>
      <c r="T443" s="11"/>
      <c r="U443" s="11"/>
    </row>
    <row r="444" spans="1:21" x14ac:dyDescent="0.2">
      <c r="A444" s="10"/>
      <c r="B444" s="14"/>
      <c r="R444" s="11"/>
      <c r="S444" s="11"/>
      <c r="T444" s="11"/>
      <c r="U444" s="11"/>
    </row>
    <row r="445" spans="1:21" x14ac:dyDescent="0.2">
      <c r="A445" s="10"/>
      <c r="B445" s="14"/>
      <c r="R445" s="11"/>
      <c r="S445" s="11"/>
      <c r="T445" s="11"/>
      <c r="U445" s="11"/>
    </row>
    <row r="446" spans="1:21" x14ac:dyDescent="0.2">
      <c r="A446" s="10"/>
      <c r="B446" s="14"/>
      <c r="R446" s="11"/>
      <c r="S446" s="11"/>
      <c r="T446" s="11"/>
      <c r="U446" s="11"/>
    </row>
    <row r="447" spans="1:21" x14ac:dyDescent="0.2">
      <c r="A447" s="10"/>
      <c r="B447" s="14"/>
      <c r="R447" s="11"/>
      <c r="S447" s="11"/>
      <c r="T447" s="11"/>
      <c r="U447" s="11"/>
    </row>
    <row r="448" spans="1:21" x14ac:dyDescent="0.2">
      <c r="A448" s="10"/>
      <c r="B448" s="14"/>
      <c r="R448" s="11"/>
      <c r="S448" s="11"/>
      <c r="T448" s="11"/>
      <c r="U448" s="11"/>
    </row>
    <row r="449" spans="1:21" x14ac:dyDescent="0.2">
      <c r="A449" s="10"/>
      <c r="B449" s="14"/>
      <c r="R449" s="11"/>
      <c r="S449" s="11"/>
      <c r="T449" s="11"/>
      <c r="U449" s="11"/>
    </row>
    <row r="450" spans="1:21" x14ac:dyDescent="0.2">
      <c r="A450" s="10"/>
      <c r="B450" s="14"/>
      <c r="R450" s="11"/>
      <c r="S450" s="11"/>
      <c r="T450" s="11"/>
      <c r="U450" s="11"/>
    </row>
    <row r="451" spans="1:21" x14ac:dyDescent="0.2">
      <c r="A451" s="10"/>
      <c r="B451" s="14"/>
      <c r="R451" s="11"/>
      <c r="S451" s="11"/>
      <c r="T451" s="11"/>
      <c r="U451" s="11"/>
    </row>
    <row r="452" spans="1:21" x14ac:dyDescent="0.2">
      <c r="A452" s="10"/>
      <c r="B452" s="14"/>
      <c r="R452" s="11"/>
      <c r="S452" s="11"/>
      <c r="T452" s="11"/>
      <c r="U452" s="11"/>
    </row>
    <row r="453" spans="1:21" x14ac:dyDescent="0.2">
      <c r="A453" s="10"/>
      <c r="B453" s="14"/>
      <c r="R453" s="11"/>
      <c r="S453" s="11"/>
      <c r="T453" s="11"/>
      <c r="U453" s="11"/>
    </row>
    <row r="454" spans="1:21" x14ac:dyDescent="0.2">
      <c r="A454" s="10"/>
      <c r="B454" s="14"/>
      <c r="R454" s="11"/>
      <c r="S454" s="11"/>
      <c r="T454" s="11"/>
      <c r="U454" s="11"/>
    </row>
    <row r="455" spans="1:21" x14ac:dyDescent="0.2">
      <c r="A455" s="10"/>
      <c r="B455" s="14"/>
      <c r="R455" s="11"/>
      <c r="S455" s="11"/>
      <c r="T455" s="11"/>
      <c r="U455" s="11"/>
    </row>
    <row r="456" spans="1:21" x14ac:dyDescent="0.2">
      <c r="A456" s="10"/>
      <c r="B456" s="14"/>
      <c r="R456" s="11"/>
      <c r="S456" s="11"/>
      <c r="T456" s="11"/>
      <c r="U456" s="11"/>
    </row>
    <row r="457" spans="1:21" x14ac:dyDescent="0.2">
      <c r="A457" s="10"/>
      <c r="B457" s="14"/>
      <c r="R457" s="11"/>
      <c r="S457" s="11"/>
      <c r="T457" s="11"/>
      <c r="U457" s="11"/>
    </row>
    <row r="458" spans="1:21" x14ac:dyDescent="0.2">
      <c r="A458" s="10"/>
      <c r="B458" s="14"/>
      <c r="R458" s="11"/>
      <c r="S458" s="11"/>
      <c r="T458" s="11"/>
      <c r="U458" s="11"/>
    </row>
    <row r="459" spans="1:21" x14ac:dyDescent="0.2">
      <c r="A459" s="10"/>
      <c r="B459" s="14"/>
      <c r="R459" s="11"/>
      <c r="S459" s="11"/>
      <c r="T459" s="11"/>
      <c r="U459" s="11"/>
    </row>
    <row r="460" spans="1:21" x14ac:dyDescent="0.2">
      <c r="A460" s="10"/>
      <c r="B460" s="14"/>
      <c r="R460" s="11"/>
      <c r="S460" s="11"/>
      <c r="T460" s="11"/>
      <c r="U460" s="11"/>
    </row>
    <row r="461" spans="1:21" x14ac:dyDescent="0.2">
      <c r="A461" s="10"/>
      <c r="B461" s="14"/>
      <c r="R461" s="11"/>
      <c r="S461" s="11"/>
      <c r="T461" s="11"/>
      <c r="U461" s="11"/>
    </row>
    <row r="462" spans="1:21" x14ac:dyDescent="0.2">
      <c r="A462" s="10"/>
      <c r="B462" s="14"/>
      <c r="R462" s="11"/>
      <c r="S462" s="11"/>
      <c r="T462" s="11"/>
      <c r="U462" s="11"/>
    </row>
    <row r="463" spans="1:21" x14ac:dyDescent="0.2">
      <c r="A463" s="10"/>
      <c r="B463" s="14"/>
      <c r="R463" s="11"/>
      <c r="S463" s="11"/>
      <c r="T463" s="11"/>
      <c r="U463" s="11"/>
    </row>
    <row r="464" spans="1:21" x14ac:dyDescent="0.2">
      <c r="A464" s="10"/>
      <c r="B464" s="14"/>
      <c r="R464" s="11"/>
      <c r="S464" s="11"/>
      <c r="T464" s="11"/>
      <c r="U464" s="11"/>
    </row>
    <row r="465" spans="1:21" x14ac:dyDescent="0.2">
      <c r="A465" s="10"/>
      <c r="B465" s="14"/>
      <c r="R465" s="11"/>
      <c r="S465" s="11"/>
      <c r="T465" s="11"/>
      <c r="U465" s="11"/>
    </row>
    <row r="466" spans="1:21" x14ac:dyDescent="0.2">
      <c r="A466" s="10"/>
      <c r="B466" s="14"/>
      <c r="R466" s="11"/>
      <c r="S466" s="11"/>
      <c r="T466" s="11"/>
      <c r="U466" s="11"/>
    </row>
    <row r="467" spans="1:21" x14ac:dyDescent="0.2">
      <c r="A467" s="10"/>
      <c r="B467" s="14"/>
      <c r="R467" s="11"/>
      <c r="S467" s="11"/>
      <c r="T467" s="11"/>
      <c r="U467" s="11"/>
    </row>
    <row r="468" spans="1:21" x14ac:dyDescent="0.2">
      <c r="A468" s="10"/>
      <c r="B468" s="14"/>
      <c r="R468" s="11"/>
      <c r="S468" s="11"/>
      <c r="T468" s="11"/>
      <c r="U468" s="11"/>
    </row>
    <row r="469" spans="1:21" x14ac:dyDescent="0.2">
      <c r="A469" s="10"/>
      <c r="B469" s="14"/>
      <c r="R469" s="11"/>
      <c r="S469" s="11"/>
      <c r="T469" s="11"/>
      <c r="U469" s="11"/>
    </row>
    <row r="470" spans="1:21" x14ac:dyDescent="0.2">
      <c r="A470" s="10"/>
      <c r="B470" s="14"/>
      <c r="R470" s="11"/>
      <c r="S470" s="11"/>
      <c r="T470" s="11"/>
      <c r="U470" s="11"/>
    </row>
    <row r="471" spans="1:21" x14ac:dyDescent="0.2">
      <c r="A471" s="10"/>
      <c r="B471" s="14"/>
      <c r="R471" s="11"/>
      <c r="S471" s="11"/>
      <c r="T471" s="11"/>
      <c r="U471" s="11"/>
    </row>
    <row r="472" spans="1:21" x14ac:dyDescent="0.2">
      <c r="A472" s="10"/>
      <c r="B472" s="14"/>
      <c r="R472" s="11"/>
      <c r="S472" s="11"/>
      <c r="T472" s="11"/>
      <c r="U472" s="11"/>
    </row>
    <row r="473" spans="1:21" x14ac:dyDescent="0.2">
      <c r="A473" s="10"/>
      <c r="B473" s="14"/>
      <c r="R473" s="11"/>
      <c r="S473" s="11"/>
      <c r="T473" s="11"/>
      <c r="U473" s="11"/>
    </row>
    <row r="474" spans="1:21" x14ac:dyDescent="0.2">
      <c r="A474" s="10"/>
      <c r="B474" s="14"/>
      <c r="R474" s="11"/>
      <c r="S474" s="11"/>
      <c r="T474" s="11"/>
      <c r="U474" s="11"/>
    </row>
    <row r="475" spans="1:21" x14ac:dyDescent="0.2">
      <c r="A475" s="10"/>
      <c r="B475" s="14"/>
      <c r="R475" s="11"/>
      <c r="S475" s="11"/>
      <c r="T475" s="11"/>
      <c r="U475" s="11"/>
    </row>
    <row r="476" spans="1:21" x14ac:dyDescent="0.2">
      <c r="A476" s="10"/>
      <c r="B476" s="14"/>
      <c r="R476" s="11"/>
      <c r="S476" s="11"/>
      <c r="T476" s="11"/>
      <c r="U476" s="11"/>
    </row>
    <row r="477" spans="1:21" x14ac:dyDescent="0.2">
      <c r="A477" s="10"/>
      <c r="B477" s="14"/>
      <c r="R477" s="11"/>
      <c r="S477" s="11"/>
      <c r="T477" s="11"/>
      <c r="U477" s="11"/>
    </row>
    <row r="478" spans="1:21" x14ac:dyDescent="0.2">
      <c r="A478" s="10"/>
      <c r="B478" s="14"/>
      <c r="R478" s="11"/>
      <c r="S478" s="11"/>
      <c r="T478" s="11"/>
      <c r="U478" s="11"/>
    </row>
    <row r="479" spans="1:21" x14ac:dyDescent="0.2">
      <c r="A479" s="10"/>
      <c r="B479" s="14"/>
      <c r="R479" s="11"/>
      <c r="S479" s="11"/>
      <c r="T479" s="11"/>
      <c r="U479" s="11"/>
    </row>
    <row r="480" spans="1:21" x14ac:dyDescent="0.2">
      <c r="A480" s="10"/>
      <c r="B480" s="14"/>
      <c r="R480" s="11"/>
      <c r="S480" s="11"/>
      <c r="T480" s="11"/>
      <c r="U480" s="11"/>
    </row>
    <row r="481" spans="1:21" x14ac:dyDescent="0.2">
      <c r="A481" s="10"/>
      <c r="B481" s="14"/>
      <c r="R481" s="11"/>
      <c r="S481" s="11"/>
      <c r="T481" s="11"/>
      <c r="U481" s="11"/>
    </row>
    <row r="482" spans="1:21" x14ac:dyDescent="0.2">
      <c r="A482" s="10"/>
      <c r="B482" s="14"/>
      <c r="R482" s="11"/>
      <c r="S482" s="11"/>
      <c r="T482" s="11"/>
      <c r="U482" s="11"/>
    </row>
    <row r="483" spans="1:21" x14ac:dyDescent="0.2">
      <c r="A483" s="10"/>
      <c r="B483" s="14"/>
      <c r="R483" s="11"/>
      <c r="S483" s="11"/>
      <c r="T483" s="11"/>
      <c r="U483" s="11"/>
    </row>
    <row r="484" spans="1:21" x14ac:dyDescent="0.2">
      <c r="A484" s="10"/>
      <c r="B484" s="14"/>
      <c r="R484" s="11"/>
      <c r="S484" s="11"/>
      <c r="T484" s="11"/>
      <c r="U484" s="11"/>
    </row>
    <row r="485" spans="1:21" x14ac:dyDescent="0.2">
      <c r="A485" s="10"/>
      <c r="B485" s="14"/>
      <c r="R485" s="11"/>
      <c r="S485" s="11"/>
      <c r="T485" s="11"/>
      <c r="U485" s="11"/>
    </row>
    <row r="486" spans="1:21" x14ac:dyDescent="0.2">
      <c r="A486" s="10"/>
      <c r="B486" s="14"/>
      <c r="R486" s="11"/>
      <c r="S486" s="11"/>
      <c r="T486" s="11"/>
      <c r="U486" s="11"/>
    </row>
    <row r="487" spans="1:21" x14ac:dyDescent="0.2">
      <c r="A487" s="10"/>
      <c r="B487" s="14"/>
      <c r="R487" s="11"/>
      <c r="S487" s="11"/>
      <c r="T487" s="11"/>
      <c r="U487" s="11"/>
    </row>
    <row r="488" spans="1:21" x14ac:dyDescent="0.2">
      <c r="A488" s="10"/>
      <c r="B488" s="14"/>
      <c r="R488" s="11"/>
      <c r="S488" s="11"/>
      <c r="T488" s="11"/>
      <c r="U488" s="11"/>
    </row>
    <row r="489" spans="1:21" x14ac:dyDescent="0.2">
      <c r="A489" s="10"/>
      <c r="B489" s="14"/>
      <c r="R489" s="11"/>
      <c r="S489" s="11"/>
      <c r="T489" s="11"/>
      <c r="U489" s="11"/>
    </row>
    <row r="490" spans="1:21" x14ac:dyDescent="0.2">
      <c r="A490" s="10"/>
      <c r="B490" s="14"/>
      <c r="R490" s="11"/>
      <c r="S490" s="11"/>
      <c r="T490" s="11"/>
      <c r="U490" s="11"/>
    </row>
    <row r="491" spans="1:21" x14ac:dyDescent="0.2">
      <c r="A491" s="10"/>
      <c r="B491" s="14"/>
      <c r="R491" s="11"/>
      <c r="S491" s="11"/>
      <c r="T491" s="11"/>
      <c r="U491" s="11"/>
    </row>
    <row r="492" spans="1:21" x14ac:dyDescent="0.2">
      <c r="A492" s="10"/>
      <c r="B492" s="14"/>
      <c r="R492" s="11"/>
      <c r="S492" s="11"/>
      <c r="T492" s="11"/>
      <c r="U492" s="11"/>
    </row>
    <row r="493" spans="1:21" x14ac:dyDescent="0.2">
      <c r="A493" s="10"/>
      <c r="B493" s="14"/>
      <c r="R493" s="11"/>
      <c r="S493" s="11"/>
      <c r="T493" s="11"/>
      <c r="U493" s="11"/>
    </row>
    <row r="494" spans="1:21" x14ac:dyDescent="0.2">
      <c r="A494" s="10"/>
      <c r="B494" s="14"/>
      <c r="R494" s="11"/>
      <c r="S494" s="11"/>
      <c r="T494" s="11"/>
      <c r="U494" s="11"/>
    </row>
    <row r="495" spans="1:21" x14ac:dyDescent="0.2">
      <c r="A495" s="10"/>
      <c r="B495" s="14"/>
      <c r="R495" s="11"/>
      <c r="S495" s="11"/>
      <c r="T495" s="11"/>
      <c r="U495" s="11"/>
    </row>
    <row r="496" spans="1:21" x14ac:dyDescent="0.2">
      <c r="A496" s="10"/>
      <c r="B496" s="14"/>
      <c r="R496" s="11"/>
      <c r="S496" s="11"/>
      <c r="T496" s="11"/>
      <c r="U496" s="11"/>
    </row>
    <row r="497" spans="1:21" x14ac:dyDescent="0.2">
      <c r="A497" s="10"/>
      <c r="B497" s="14"/>
      <c r="R497" s="11"/>
      <c r="S497" s="11"/>
      <c r="T497" s="11"/>
      <c r="U497" s="11"/>
    </row>
    <row r="498" spans="1:21" x14ac:dyDescent="0.2">
      <c r="A498" s="10"/>
      <c r="B498" s="14"/>
      <c r="R498" s="11"/>
      <c r="S498" s="11"/>
      <c r="T498" s="11"/>
      <c r="U498" s="11"/>
    </row>
    <row r="499" spans="1:21" x14ac:dyDescent="0.2">
      <c r="A499" s="10"/>
      <c r="B499" s="14"/>
      <c r="R499" s="11"/>
      <c r="S499" s="11"/>
      <c r="T499" s="11"/>
      <c r="U499" s="11"/>
    </row>
    <row r="500" spans="1:21" x14ac:dyDescent="0.2">
      <c r="A500" s="10"/>
      <c r="B500" s="14"/>
      <c r="R500" s="11"/>
      <c r="S500" s="11"/>
      <c r="T500" s="11"/>
      <c r="U500" s="11"/>
    </row>
    <row r="501" spans="1:21" x14ac:dyDescent="0.2">
      <c r="A501" s="10"/>
      <c r="B501" s="14"/>
      <c r="R501" s="11"/>
      <c r="S501" s="11"/>
      <c r="T501" s="11"/>
      <c r="U501" s="11"/>
    </row>
    <row r="502" spans="1:21" x14ac:dyDescent="0.2">
      <c r="A502" s="10"/>
      <c r="B502" s="14"/>
    </row>
    <row r="503" spans="1:21" x14ac:dyDescent="0.2">
      <c r="A503" s="10"/>
      <c r="B503" s="14"/>
    </row>
    <row r="504" spans="1:21" x14ac:dyDescent="0.2">
      <c r="A504" s="10"/>
      <c r="B504" s="14"/>
    </row>
    <row r="505" spans="1:21" x14ac:dyDescent="0.2">
      <c r="A505" s="10"/>
      <c r="B505" s="14"/>
    </row>
    <row r="506" spans="1:21" x14ac:dyDescent="0.2">
      <c r="A506" s="10"/>
      <c r="B506" s="14"/>
    </row>
    <row r="507" spans="1:21" x14ac:dyDescent="0.2">
      <c r="A507" s="10"/>
      <c r="B507" s="14"/>
    </row>
    <row r="508" spans="1:21" x14ac:dyDescent="0.2">
      <c r="A508" s="10"/>
      <c r="B508" s="14"/>
    </row>
    <row r="509" spans="1:21" x14ac:dyDescent="0.2">
      <c r="A509" s="10"/>
      <c r="B509" s="14"/>
    </row>
    <row r="510" spans="1:21" x14ac:dyDescent="0.2">
      <c r="A510" s="10"/>
      <c r="B510" s="14"/>
    </row>
    <row r="511" spans="1:21" x14ac:dyDescent="0.2">
      <c r="A511" s="10"/>
      <c r="B511" s="14"/>
    </row>
    <row r="512" spans="1:21" x14ac:dyDescent="0.2">
      <c r="A512" s="10"/>
      <c r="B512" s="14"/>
    </row>
    <row r="513" spans="1:2" x14ac:dyDescent="0.2">
      <c r="A513" s="10"/>
      <c r="B513" s="14"/>
    </row>
    <row r="514" spans="1:2" x14ac:dyDescent="0.2">
      <c r="A514" s="10"/>
      <c r="B514" s="14"/>
    </row>
    <row r="515" spans="1:2" x14ac:dyDescent="0.2">
      <c r="A515" s="10"/>
      <c r="B515" s="14"/>
    </row>
    <row r="516" spans="1:2" x14ac:dyDescent="0.2">
      <c r="A516" s="10"/>
      <c r="B516" s="14"/>
    </row>
    <row r="517" spans="1:2" x14ac:dyDescent="0.2">
      <c r="A517" s="10"/>
      <c r="B517" s="14"/>
    </row>
    <row r="518" spans="1:2" x14ac:dyDescent="0.2">
      <c r="A518" s="10"/>
      <c r="B518" s="14"/>
    </row>
    <row r="519" spans="1:2" x14ac:dyDescent="0.2">
      <c r="A519" s="10"/>
      <c r="B519" s="14"/>
    </row>
    <row r="520" spans="1:2" x14ac:dyDescent="0.2">
      <c r="A520" s="10"/>
      <c r="B520" s="14"/>
    </row>
    <row r="521" spans="1:2" x14ac:dyDescent="0.2">
      <c r="A521" s="10"/>
      <c r="B521" s="14"/>
    </row>
    <row r="522" spans="1:2" x14ac:dyDescent="0.2">
      <c r="A522" s="10"/>
      <c r="B522" s="14"/>
    </row>
    <row r="523" spans="1:2" x14ac:dyDescent="0.2">
      <c r="A523" s="10"/>
      <c r="B523" s="14"/>
    </row>
    <row r="524" spans="1:2" x14ac:dyDescent="0.2">
      <c r="A524" s="10"/>
      <c r="B524" s="14"/>
    </row>
    <row r="525" spans="1:2" x14ac:dyDescent="0.2">
      <c r="A525" s="10"/>
      <c r="B525" s="14"/>
    </row>
    <row r="526" spans="1:2" x14ac:dyDescent="0.2">
      <c r="A526" s="10"/>
      <c r="B526" s="14"/>
    </row>
    <row r="527" spans="1:2" x14ac:dyDescent="0.2">
      <c r="A527" s="10"/>
      <c r="B527" s="14"/>
    </row>
    <row r="528" spans="1:2" x14ac:dyDescent="0.2">
      <c r="A528" s="10"/>
      <c r="B528" s="14"/>
    </row>
    <row r="529" spans="1:2" x14ac:dyDescent="0.2">
      <c r="A529" s="10"/>
      <c r="B529" s="14"/>
    </row>
    <row r="530" spans="1:2" x14ac:dyDescent="0.2">
      <c r="A530" s="10"/>
      <c r="B530" s="14"/>
    </row>
    <row r="531" spans="1:2" x14ac:dyDescent="0.2">
      <c r="A531" s="10"/>
      <c r="B531" s="14"/>
    </row>
    <row r="532" spans="1:2" x14ac:dyDescent="0.2">
      <c r="A532" s="10"/>
      <c r="B532" s="14"/>
    </row>
    <row r="533" spans="1:2" x14ac:dyDescent="0.2">
      <c r="A533" s="10"/>
      <c r="B533" s="14"/>
    </row>
    <row r="534" spans="1:2" x14ac:dyDescent="0.2">
      <c r="A534" s="10"/>
      <c r="B534" s="14"/>
    </row>
    <row r="535" spans="1:2" x14ac:dyDescent="0.2">
      <c r="A535" s="10"/>
      <c r="B535" s="14"/>
    </row>
    <row r="536" spans="1:2" x14ac:dyDescent="0.2">
      <c r="A536" s="10"/>
      <c r="B536" s="14"/>
    </row>
    <row r="537" spans="1:2" x14ac:dyDescent="0.2">
      <c r="A537" s="10"/>
      <c r="B537" s="14"/>
    </row>
    <row r="538" spans="1:2" x14ac:dyDescent="0.2">
      <c r="A538" s="10"/>
      <c r="B538" s="14"/>
    </row>
    <row r="539" spans="1:2" x14ac:dyDescent="0.2">
      <c r="A539" s="10"/>
      <c r="B539" s="14"/>
    </row>
    <row r="540" spans="1:2" x14ac:dyDescent="0.2">
      <c r="A540" s="10"/>
      <c r="B540" s="14"/>
    </row>
    <row r="541" spans="1:2" x14ac:dyDescent="0.2">
      <c r="A541" s="10"/>
      <c r="B541" s="14"/>
    </row>
    <row r="542" spans="1:2" x14ac:dyDescent="0.2">
      <c r="A542" s="10"/>
      <c r="B542" s="14"/>
    </row>
    <row r="543" spans="1:2" x14ac:dyDescent="0.2">
      <c r="A543" s="10"/>
      <c r="B543" s="14"/>
    </row>
    <row r="544" spans="1:2" x14ac:dyDescent="0.2">
      <c r="A544" s="10"/>
      <c r="B544" s="14"/>
    </row>
    <row r="545" spans="1:2" x14ac:dyDescent="0.2">
      <c r="A545" s="10"/>
      <c r="B545" s="14"/>
    </row>
    <row r="546" spans="1:2" x14ac:dyDescent="0.2">
      <c r="A546" s="10"/>
      <c r="B546" s="14"/>
    </row>
    <row r="547" spans="1:2" x14ac:dyDescent="0.2">
      <c r="A547" s="10"/>
      <c r="B547" s="14"/>
    </row>
    <row r="548" spans="1:2" x14ac:dyDescent="0.2">
      <c r="A548" s="10"/>
      <c r="B548" s="14"/>
    </row>
    <row r="549" spans="1:2" x14ac:dyDescent="0.2">
      <c r="A549" s="10"/>
      <c r="B549" s="14"/>
    </row>
    <row r="550" spans="1:2" x14ac:dyDescent="0.2">
      <c r="A550" s="10"/>
      <c r="B550" s="14"/>
    </row>
    <row r="551" spans="1:2" x14ac:dyDescent="0.2">
      <c r="A551" s="10"/>
      <c r="B551" s="14"/>
    </row>
    <row r="552" spans="1:2" x14ac:dyDescent="0.2">
      <c r="A552" s="10"/>
      <c r="B552" s="14"/>
    </row>
    <row r="553" spans="1:2" x14ac:dyDescent="0.2">
      <c r="A553" s="10"/>
      <c r="B553" s="14"/>
    </row>
    <row r="554" spans="1:2" x14ac:dyDescent="0.2">
      <c r="A554" s="10"/>
      <c r="B554" s="14"/>
    </row>
    <row r="555" spans="1:2" x14ac:dyDescent="0.2">
      <c r="A555" s="10"/>
      <c r="B555" s="14"/>
    </row>
    <row r="556" spans="1:2" x14ac:dyDescent="0.2">
      <c r="A556" s="10"/>
      <c r="B556" s="14"/>
    </row>
    <row r="557" spans="1:2" x14ac:dyDescent="0.2">
      <c r="A557" s="10"/>
      <c r="B557" s="14"/>
    </row>
    <row r="558" spans="1:2" x14ac:dyDescent="0.2">
      <c r="A558" s="10"/>
      <c r="B558" s="14"/>
    </row>
    <row r="559" spans="1:2" x14ac:dyDescent="0.2">
      <c r="A559" s="10"/>
      <c r="B559" s="14"/>
    </row>
    <row r="560" spans="1:2" x14ac:dyDescent="0.2">
      <c r="A560" s="10"/>
      <c r="B560" s="14"/>
    </row>
    <row r="561" spans="1:2" x14ac:dyDescent="0.2">
      <c r="A561" s="10"/>
      <c r="B561" s="14"/>
    </row>
    <row r="562" spans="1:2" x14ac:dyDescent="0.2">
      <c r="A562" s="10"/>
      <c r="B562" s="14"/>
    </row>
    <row r="563" spans="1:2" x14ac:dyDescent="0.2">
      <c r="A563" s="10"/>
      <c r="B563" s="14"/>
    </row>
    <row r="564" spans="1:2" x14ac:dyDescent="0.2">
      <c r="A564" s="10"/>
      <c r="B564" s="14"/>
    </row>
    <row r="565" spans="1:2" x14ac:dyDescent="0.2">
      <c r="A565" s="10"/>
      <c r="B565" s="14"/>
    </row>
    <row r="566" spans="1:2" x14ac:dyDescent="0.2">
      <c r="A566" s="10"/>
      <c r="B566" s="14"/>
    </row>
    <row r="567" spans="1:2" x14ac:dyDescent="0.2">
      <c r="A567" s="10"/>
      <c r="B567" s="14"/>
    </row>
    <row r="568" spans="1:2" x14ac:dyDescent="0.2">
      <c r="A568" s="10"/>
      <c r="B568" s="14"/>
    </row>
    <row r="569" spans="1:2" x14ac:dyDescent="0.2">
      <c r="A569" s="10"/>
      <c r="B569" s="14"/>
    </row>
    <row r="570" spans="1:2" x14ac:dyDescent="0.2">
      <c r="A570" s="10"/>
      <c r="B570" s="14"/>
    </row>
    <row r="571" spans="1:2" x14ac:dyDescent="0.2">
      <c r="A571" s="10"/>
      <c r="B571" s="14"/>
    </row>
    <row r="572" spans="1:2" x14ac:dyDescent="0.2">
      <c r="A572" s="10"/>
      <c r="B572" s="14"/>
    </row>
    <row r="573" spans="1:2" x14ac:dyDescent="0.2">
      <c r="A573" s="10"/>
      <c r="B573" s="14"/>
    </row>
    <row r="574" spans="1:2" x14ac:dyDescent="0.2">
      <c r="A574" s="10"/>
      <c r="B574" s="14"/>
    </row>
    <row r="575" spans="1:2" x14ac:dyDescent="0.2">
      <c r="A575" s="10"/>
      <c r="B575" s="14"/>
    </row>
    <row r="576" spans="1:2" x14ac:dyDescent="0.2">
      <c r="A576" s="10"/>
      <c r="B576" s="14"/>
    </row>
    <row r="577" spans="1:2" x14ac:dyDescent="0.2">
      <c r="A577" s="10"/>
      <c r="B577" s="14"/>
    </row>
    <row r="578" spans="1:2" x14ac:dyDescent="0.2">
      <c r="A578" s="10"/>
      <c r="B578" s="14"/>
    </row>
    <row r="579" spans="1:2" x14ac:dyDescent="0.2">
      <c r="A579" s="10"/>
      <c r="B579" s="14"/>
    </row>
    <row r="580" spans="1:2" x14ac:dyDescent="0.2">
      <c r="A580" s="10"/>
      <c r="B580" s="14"/>
    </row>
    <row r="581" spans="1:2" x14ac:dyDescent="0.2">
      <c r="A581" s="10"/>
      <c r="B581" s="14"/>
    </row>
    <row r="582" spans="1:2" x14ac:dyDescent="0.2">
      <c r="A582" s="10"/>
      <c r="B582" s="14"/>
    </row>
    <row r="583" spans="1:2" x14ac:dyDescent="0.2">
      <c r="A583" s="10"/>
      <c r="B583" s="14"/>
    </row>
    <row r="584" spans="1:2" x14ac:dyDescent="0.2">
      <c r="A584" s="10"/>
      <c r="B584" s="14"/>
    </row>
    <row r="585" spans="1:2" x14ac:dyDescent="0.2">
      <c r="A585" s="10"/>
      <c r="B585" s="14"/>
    </row>
    <row r="586" spans="1:2" x14ac:dyDescent="0.2">
      <c r="A586" s="10"/>
      <c r="B586" s="14"/>
    </row>
    <row r="587" spans="1:2" x14ac:dyDescent="0.2">
      <c r="A587" s="10"/>
      <c r="B587" s="14"/>
    </row>
    <row r="588" spans="1:2" x14ac:dyDescent="0.2">
      <c r="A588" s="10"/>
      <c r="B588" s="14"/>
    </row>
    <row r="589" spans="1:2" x14ac:dyDescent="0.2">
      <c r="A589" s="10"/>
      <c r="B589" s="14"/>
    </row>
    <row r="590" spans="1:2" x14ac:dyDescent="0.2">
      <c r="A590" s="10"/>
      <c r="B590" s="14"/>
    </row>
    <row r="591" spans="1:2" x14ac:dyDescent="0.2">
      <c r="A591" s="10"/>
      <c r="B591" s="14"/>
    </row>
    <row r="592" spans="1:2" x14ac:dyDescent="0.2">
      <c r="A592" s="10"/>
      <c r="B592" s="14"/>
    </row>
    <row r="593" spans="1:2" x14ac:dyDescent="0.2">
      <c r="A593" s="10"/>
      <c r="B593" s="14"/>
    </row>
    <row r="594" spans="1:2" x14ac:dyDescent="0.2">
      <c r="A594" s="10"/>
      <c r="B594" s="14"/>
    </row>
    <row r="595" spans="1:2" x14ac:dyDescent="0.2">
      <c r="A595" s="10"/>
    </row>
    <row r="596" spans="1:2" x14ac:dyDescent="0.2">
      <c r="A596" s="10"/>
    </row>
    <row r="597" spans="1:2" x14ac:dyDescent="0.2">
      <c r="A597" s="10"/>
    </row>
    <row r="598" spans="1:2" x14ac:dyDescent="0.2">
      <c r="A598" s="10"/>
    </row>
    <row r="599" spans="1:2" x14ac:dyDescent="0.2">
      <c r="A599" s="10"/>
    </row>
    <row r="600" spans="1:2" x14ac:dyDescent="0.2">
      <c r="A600" s="10"/>
    </row>
    <row r="601" spans="1:2" x14ac:dyDescent="0.2">
      <c r="A601" s="10"/>
    </row>
    <row r="602" spans="1:2" x14ac:dyDescent="0.2">
      <c r="A602" s="10"/>
    </row>
  </sheetData>
  <mergeCells count="47">
    <mergeCell ref="Q125:R125"/>
    <mergeCell ref="V125:W125"/>
    <mergeCell ref="Q126:R126"/>
    <mergeCell ref="V126:W126"/>
    <mergeCell ref="Q127:R127"/>
    <mergeCell ref="V127:W127"/>
    <mergeCell ref="Q128:R128"/>
    <mergeCell ref="V128:W128"/>
    <mergeCell ref="Q129:R129"/>
    <mergeCell ref="V129:W129"/>
    <mergeCell ref="Q130:R130"/>
    <mergeCell ref="V130:W130"/>
    <mergeCell ref="Q131:R131"/>
    <mergeCell ref="V131:W131"/>
    <mergeCell ref="Q132:R132"/>
    <mergeCell ref="V132:W132"/>
    <mergeCell ref="Q133:R133"/>
    <mergeCell ref="V133:W133"/>
    <mergeCell ref="P151:Q151"/>
    <mergeCell ref="Q134:R134"/>
    <mergeCell ref="V134:W134"/>
    <mergeCell ref="Q135:R135"/>
    <mergeCell ref="V135:W135"/>
    <mergeCell ref="Q136:R136"/>
    <mergeCell ref="V136:W136"/>
    <mergeCell ref="Q137:R137"/>
    <mergeCell ref="V137:W137"/>
    <mergeCell ref="P148:Q148"/>
    <mergeCell ref="P149:Q149"/>
    <mergeCell ref="P150:Q150"/>
    <mergeCell ref="M198:N198"/>
    <mergeCell ref="P152:Q152"/>
    <mergeCell ref="P153:Q153"/>
    <mergeCell ref="P154:Q154"/>
    <mergeCell ref="P180:Q180"/>
    <mergeCell ref="P181:Q181"/>
    <mergeCell ref="P182:Q182"/>
    <mergeCell ref="P183:Q183"/>
    <mergeCell ref="P184:Q184"/>
    <mergeCell ref="P185:Q185"/>
    <mergeCell ref="P186:Q186"/>
    <mergeCell ref="P187:Q187"/>
    <mergeCell ref="M199:N199"/>
    <mergeCell ref="M200:N200"/>
    <mergeCell ref="M201:N201"/>
    <mergeCell ref="M202:N202"/>
    <mergeCell ref="A210:L213"/>
  </mergeCells>
  <hyperlinks>
    <hyperlink ref="A2" location="'Bid Log'!A9" display="Council Bids" xr:uid="{147FB2AE-087D-46F9-A8C5-5025DD210116}"/>
    <hyperlink ref="A3" location="'Bid Log'!A110" display="Non-Council Bids" xr:uid="{A03A4B1C-BB6C-4719-942D-3DDB65949BB7}"/>
    <hyperlink ref="A4" location="'Bid Log'!A145" display="Requests for Proposals" xr:uid="{C9D8C962-37E8-40D3-BBF4-622EBF433E23}"/>
    <hyperlink ref="A5" location="'Bid Log'!A173" display="Competitive Sealed Proposals" xr:uid="{A0847C8A-4B14-4803-A7FC-337CFCCAC6F0}"/>
    <hyperlink ref="A6" location="'Bid Log'!A194" display="Request for Qualifications" xr:uid="{0B95ED03-2918-4422-89FC-9A2E13091C00}"/>
    <hyperlink ref="A7" location="'Bid Log'!A215" display="Request for Information" xr:uid="{2F9C96CB-0946-4806-A6B3-A96BE43F6556}"/>
    <hyperlink ref="A190" location="'Bid Log'!A1" display="Return to Top of Document" xr:uid="{05F55DC8-D9D3-4A17-AFCC-E5D89CF9E769}"/>
    <hyperlink ref="A205" location="'Bid Log'!A1" display="Return to Top of Document" xr:uid="{41822EAC-F045-43BD-A15E-857BA446DAA5}"/>
    <hyperlink ref="A172" location="'Bid Log'!A1" display="Return to Top of Document" xr:uid="{409371C3-907A-4F2F-8BB7-ECC3F41D938B}"/>
    <hyperlink ref="A157" location="'Bid Log'!A1" display="Return to Top of Document" xr:uid="{92BEB73A-D297-44F2-99F0-2D65FA19FA43}"/>
    <hyperlink ref="A140" location="'Bid Log'!A1" display="Return to Top of Document" xr:uid="{B50A3381-2C6E-4D67-88D4-C5A90B2756DE}"/>
    <hyperlink ref="A117" location="'Bid Log'!A1" display="Return to Top of Document" xr:uid="{9CDFFCBF-02C0-408F-B574-939EA734DB44}"/>
    <hyperlink ref="F17" r:id="rId1" xr:uid="{5CF55747-7F07-47BD-8095-A8A62FD6DFFC}"/>
    <hyperlink ref="D184" r:id="rId2" xr:uid="{B0577D45-20CE-4047-9EA8-C3AE50B5ECDF}"/>
    <hyperlink ref="F184" r:id="rId3" xr:uid="{2E60CD3A-B030-41A5-9960-DF275CFAA047}"/>
    <hyperlink ref="G184" r:id="rId4" xr:uid="{FF7338EE-1DA9-49D4-9381-DCC680231701}"/>
    <hyperlink ref="D16" r:id="rId5" xr:uid="{9D84E55F-688E-4486-9A8B-79671821FC2B}"/>
    <hyperlink ref="D22" r:id="rId6" xr:uid="{14B26F47-6025-4122-99FB-36881804D034}"/>
    <hyperlink ref="D35" r:id="rId7" xr:uid="{A2EADF6E-BB31-4D70-B4CE-9A27F4721154}"/>
    <hyperlink ref="F16" r:id="rId8" xr:uid="{F24F3AA2-F7E6-41AC-8DB9-F9DFBC295584}"/>
    <hyperlink ref="F18" r:id="rId9" xr:uid="{215B91E8-5216-4332-9278-392F1981BE82}"/>
    <hyperlink ref="F20" r:id="rId10" xr:uid="{6D2334A6-2125-47BD-899F-F43E16E433C8}"/>
    <hyperlink ref="F22" r:id="rId11" xr:uid="{893188BF-E736-4F4B-876F-1151738EAA95}"/>
    <hyperlink ref="F34" r:id="rId12" xr:uid="{64FF2C20-CC7F-44D6-80AD-84C634A6CDEA}"/>
    <hyperlink ref="F35" r:id="rId13" xr:uid="{A78B5F9C-5769-4708-ABE3-52A3299DAA4F}"/>
    <hyperlink ref="G16" r:id="rId14" xr:uid="{13853097-C46D-4A82-BC0E-5BD3042F380C}"/>
    <hyperlink ref="G20" r:id="rId15" xr:uid="{59E64C65-B093-48A3-9715-F92329B06E61}"/>
    <hyperlink ref="G22" r:id="rId16" xr:uid="{1EA6B77C-D490-444F-ACE5-A4647C0883D7}"/>
    <hyperlink ref="H22" r:id="rId17" xr:uid="{6D775BE5-F701-48A7-8651-A86AC2AEAACA}"/>
    <hyperlink ref="L20" r:id="rId18" xr:uid="{C89011D5-34C3-40E8-9D1F-337680BE2474}"/>
    <hyperlink ref="L22" r:id="rId19" xr:uid="{2F5C7C02-2FCB-48EB-BDFF-05DD64138F14}"/>
    <hyperlink ref="O21" r:id="rId20" xr:uid="{F4E00BA9-6A16-4A4D-B6D0-4A34D810C90E}"/>
    <hyperlink ref="O23" r:id="rId21" xr:uid="{083FA3E1-FFD2-47EA-A35A-FB6E299F84A6}"/>
    <hyperlink ref="O24" r:id="rId22" xr:uid="{9F74C696-931C-464E-979E-00ABFEEDE2CE}"/>
    <hyperlink ref="O26" r:id="rId23" xr:uid="{7E1EBFFB-95B8-42D9-BDA4-0A6DF8752C42}"/>
    <hyperlink ref="O27" r:id="rId24" xr:uid="{4CA2ED6F-A8B8-4367-8A22-EE20DF2E554D}"/>
    <hyperlink ref="O29" r:id="rId25" xr:uid="{042C322D-ADB0-4BAF-BC94-58328C08A8E4}"/>
    <hyperlink ref="O31" r:id="rId26" xr:uid="{6F195BB0-4DF9-4AF8-9FD3-DA8147F75BBA}"/>
    <hyperlink ref="O33" r:id="rId27" xr:uid="{1EB315F3-D403-449A-B730-DAA1A0D915BC}"/>
    <hyperlink ref="H16" r:id="rId28" xr:uid="{3F0C87C3-D74F-4DF7-A069-D8E0639999DF}"/>
    <hyperlink ref="L16" r:id="rId29" xr:uid="{140F0AAF-9CFA-4B67-AD94-026760BA1494}"/>
    <hyperlink ref="L17" r:id="rId30" xr:uid="{6C9EDCE7-1C0F-4C6A-A208-33F600FC2BDE}"/>
    <hyperlink ref="L18" r:id="rId31" xr:uid="{64E57B3B-BFC6-4A69-85BA-E85054F5107A}"/>
    <hyperlink ref="G35" r:id="rId32" xr:uid="{69CA89B8-DB04-42BD-AF21-618DAC14D373}"/>
    <hyperlink ref="L34" r:id="rId33" xr:uid="{F9B92CED-BE32-4E9C-A0E5-BEB6D684F695}"/>
    <hyperlink ref="L35" r:id="rId34" xr:uid="{6A1F7A4D-4E73-43E7-8FEF-382C116E5A66}"/>
    <hyperlink ref="O36" r:id="rId35" xr:uid="{2EDBDB47-56AB-474F-950F-D1823990FBA8}"/>
    <hyperlink ref="D19" r:id="rId36" xr:uid="{86BEF5A4-46CE-40CB-AA6D-7217B56A7C43}"/>
    <hyperlink ref="O16" r:id="rId37" xr:uid="{5D30C453-16C6-432F-A036-AD75594B59D1}"/>
    <hyperlink ref="O17" r:id="rId38" xr:uid="{9C10AE01-DAB5-455B-A319-99E1FBA4CC8D}"/>
    <hyperlink ref="O20" r:id="rId39" xr:uid="{BEDBDAD5-F52E-44BE-8B4A-DE284DDD451A}"/>
    <hyperlink ref="O35" r:id="rId40" xr:uid="{A95B6B55-7C84-466E-AD19-8642EEDA21E8}"/>
    <hyperlink ref="O40" r:id="rId41" xr:uid="{E59D1979-0081-4CF8-A5E6-226407766AEC}"/>
    <hyperlink ref="O41" r:id="rId42" xr:uid="{BFB1CF09-AC03-4D94-B933-D6F38D0C17EF}"/>
    <hyperlink ref="F47" r:id="rId43" xr:uid="{ABABD53B-6CDF-4038-9070-62A3847A4663}"/>
    <hyperlink ref="F43" r:id="rId44" xr:uid="{D6DD1D09-8F46-4D22-97F8-69B2F062098B}"/>
    <hyperlink ref="G43" r:id="rId45" xr:uid="{4A11E2E0-0B62-43E5-B772-E0D79A18F9AC}"/>
    <hyperlink ref="D46" r:id="rId46" xr:uid="{2AB0AB07-8393-4460-BEC2-59C899680688}"/>
    <hyperlink ref="D47" r:id="rId47" xr:uid="{C7EBAD4A-E8A0-42E2-ACEF-38043A20D30F}"/>
    <hyperlink ref="F129" r:id="rId48" xr:uid="{1E7DC291-11C1-4AD5-94DB-C307877EE32A}"/>
    <hyperlink ref="M184" r:id="rId49" xr:uid="{F93EC283-53F8-438E-BB38-4DA1AA0734B3}"/>
    <hyperlink ref="F19" r:id="rId50" xr:uid="{C3DC6567-F33D-47DA-B252-A0B1902A9BED}"/>
    <hyperlink ref="G19" r:id="rId51" xr:uid="{35BC0C31-B2B9-42D9-A999-FA02B9C114A1}"/>
    <hyperlink ref="L19" r:id="rId52" xr:uid="{79246013-FA9F-4551-9B2C-4DA778756F23}"/>
    <hyperlink ref="H43" r:id="rId53" xr:uid="{E452536E-CCBB-445A-AB4E-1BE5CCC1BCFA}"/>
    <hyperlink ref="I43" r:id="rId54" xr:uid="{DAA2CE80-C90B-4735-94D2-810E3BB53A5B}"/>
    <hyperlink ref="J43" r:id="rId55" xr:uid="{8F43DFDC-C0B9-46FD-AF08-33E515A419FF}"/>
    <hyperlink ref="F46" r:id="rId56" xr:uid="{76655ED5-C1DF-4CAB-956D-D8118A4A95A3}"/>
    <hyperlink ref="G46" r:id="rId57" xr:uid="{9B775BB4-72DA-4AD0-96BA-B8A08196EEAB}"/>
    <hyperlink ref="L46" r:id="rId58" xr:uid="{E0E9AE9B-38D5-46EC-810C-755C12F4A944}"/>
    <hyperlink ref="G47" r:id="rId59" xr:uid="{F6562627-9022-4372-B9E4-383DDC0ADC5F}"/>
    <hyperlink ref="H47" r:id="rId60" xr:uid="{F1F75E01-4C16-424A-A55B-A41BD1ADD0CC}"/>
    <hyperlink ref="L47" r:id="rId61" xr:uid="{EACE57E4-A3F4-4658-AAFE-A6C6C40690E3}"/>
    <hyperlink ref="O34" r:id="rId62" xr:uid="{7BCDB874-A6CF-4519-8093-A720BDF9BA3C}"/>
    <hyperlink ref="O48" r:id="rId63" xr:uid="{AB574D1C-CC53-4458-97EE-BA4146E90EC9}"/>
    <hyperlink ref="O49" r:id="rId64" xr:uid="{9B157E84-CDD7-48B2-BE47-EBC87FC65AC6}"/>
    <hyperlink ref="O51" r:id="rId65" xr:uid="{BF726896-5AB2-4EDC-A768-DA40705A461A}"/>
    <hyperlink ref="O42" r:id="rId66" xr:uid="{380B2A53-27EC-45F4-8F0C-2F2E0DE980F4}"/>
    <hyperlink ref="F131" r:id="rId67" xr:uid="{18A3BE8D-DA30-4C6C-912D-C4E5F6F7F477}"/>
    <hyperlink ref="F152" r:id="rId68" xr:uid="{BD4B25E8-A800-45D4-BCAD-C4B9A8B01BC7}"/>
    <hyperlink ref="G185" r:id="rId69" xr:uid="{5E1E8B69-EFAA-403F-BD49-AA39BE6CBFA8}"/>
    <hyperlink ref="H185" r:id="rId70" xr:uid="{2DFEB162-C31C-4BE5-A50E-DF0597D32F9E}"/>
    <hyperlink ref="L43" r:id="rId71" xr:uid="{C801AA54-5E51-4D19-A25C-08849E640AB6}"/>
    <hyperlink ref="F185" r:id="rId72" xr:uid="{22EB6E1E-B9A0-421D-8FD8-9CD6FD39A6A2}"/>
    <hyperlink ref="O19" r:id="rId73" xr:uid="{7E65E98A-D278-4960-9711-36FE4B98C3D1}"/>
    <hyperlink ref="O43" r:id="rId74" xr:uid="{C630F323-8B3F-4CC0-8689-BDCD39A2FEE6}"/>
    <hyperlink ref="O46" r:id="rId75" xr:uid="{EE734922-9453-4D48-AF35-A5DEA11821FA}"/>
    <hyperlink ref="O47" r:id="rId76" xr:uid="{333EFFAB-02C7-494C-A990-654DB51E126F}"/>
    <hyperlink ref="D56" r:id="rId77" xr:uid="{B4002D96-9E00-484E-8BBE-7B49AF72E7C3}"/>
    <hyperlink ref="F56" r:id="rId78" xr:uid="{C53C9F98-36A2-42B6-B110-07237DF20EEA}"/>
    <hyperlink ref="O59" r:id="rId79" xr:uid="{F4369748-FD20-4A49-9828-A3C71F6678AC}"/>
    <hyperlink ref="L131" r:id="rId80" xr:uid="{BC55D198-B6C4-4902-A3AE-DE3D1CF34662}"/>
    <hyperlink ref="F133" r:id="rId81" xr:uid="{2D417ADB-07E5-49DB-968B-7066788A9070}"/>
    <hyperlink ref="I185" r:id="rId82" xr:uid="{6B7147CA-B771-4C6E-BD0A-F3530C327B81}"/>
    <hyperlink ref="D65" r:id="rId83" xr:uid="{467C6A42-3377-44FF-9D5E-1D929FAD3ADC}"/>
    <hyperlink ref="F153" r:id="rId84" xr:uid="{74BF8BF2-828D-4D0C-8DEE-8B9BE743F3DD}"/>
    <hyperlink ref="D54" r:id="rId85" xr:uid="{293D7622-EE27-44B1-B8B7-73189451349D}"/>
    <hyperlink ref="G56" r:id="rId86" xr:uid="{DAA92479-E933-4807-A668-3070EB46B625}"/>
    <hyperlink ref="G153" r:id="rId87" xr:uid="{45E687A4-A2BE-47A8-A331-788F547E8DB7}"/>
    <hyperlink ref="F54" r:id="rId88" xr:uid="{524453A6-B6D1-46F9-9BAD-4B3607C005A6}"/>
    <hyperlink ref="F57" r:id="rId89" xr:uid="{3EBAAC8A-4001-4343-80C2-BDD7546533A9}"/>
    <hyperlink ref="D57" r:id="rId90" xr:uid="{77E3E5CC-D126-46F1-B3A8-A06AEC39FA17}"/>
    <hyperlink ref="H56" r:id="rId91" xr:uid="{21B22A98-C943-4E26-B532-4CBED41B9A6C}"/>
    <hyperlink ref="O58" r:id="rId92" xr:uid="{AF5329DF-250F-4578-BF19-0EF31B5723FB}"/>
    <hyperlink ref="O63" r:id="rId93" xr:uid="{0D658DE7-AC8B-4C83-86CD-5C7331B5695E}"/>
    <hyperlink ref="O64" r:id="rId94" xr:uid="{1F983FF7-0C1D-4CBC-825F-95C7638F488B}"/>
    <hyperlink ref="F66" r:id="rId95" xr:uid="{E9565A1A-A82C-40CF-96B3-890FB22DEA75}"/>
    <hyperlink ref="G66" r:id="rId96" xr:uid="{A1F2882F-CB27-44D5-B115-335543071B99}"/>
    <hyperlink ref="O67" r:id="rId97" xr:uid="{F81CF7D4-D4D4-419D-9542-79B6B3E69232}"/>
    <hyperlink ref="O68" r:id="rId98" xr:uid="{B7EDF2C2-918F-4CF1-867A-9059114CB8F6}"/>
    <hyperlink ref="H153" r:id="rId99" xr:uid="{3FAAB40E-6F8F-40F4-A7BC-BEDD49071D37}"/>
    <hyperlink ref="G65" r:id="rId100" xr:uid="{0830B4D7-00ED-4AC0-B94D-128DC89C59AB}"/>
    <hyperlink ref="H65" r:id="rId101" xr:uid="{2485BCA1-D705-4193-AB8F-AB96A671859F}"/>
    <hyperlink ref="I66" r:id="rId102" xr:uid="{7EC7C4D3-6F9E-40C5-847B-7F12184826DF}"/>
    <hyperlink ref="F65" r:id="rId103" xr:uid="{441CB2CC-FCB1-47E7-BB3C-B88988235533}"/>
    <hyperlink ref="L56" r:id="rId104" xr:uid="{823C347A-8C43-49CC-8150-D947DA1427F2}"/>
    <hyperlink ref="L65" r:id="rId105" xr:uid="{02421650-4780-4C4A-A402-F8BA8898526B}"/>
    <hyperlink ref="L133" r:id="rId106" xr:uid="{7CFF5BC7-40BF-4194-96F3-80A03D35F621}"/>
    <hyperlink ref="H66" r:id="rId107" xr:uid="{1386E064-C9FA-4A77-B5E9-D23E0D15C01B}"/>
    <hyperlink ref="G54" r:id="rId108" xr:uid="{492550EB-C2D1-4407-BDB7-FE12D1C157F0}"/>
    <hyperlink ref="I54" r:id="rId109" xr:uid="{F2E4BD64-53EC-4644-8750-1D4F2E83F61F}"/>
    <hyperlink ref="H57" r:id="rId110" xr:uid="{3238CA80-C135-4CE7-8ECF-56FC41BDD942}"/>
    <hyperlink ref="I57" r:id="rId111" xr:uid="{2531076E-4279-4040-B93E-D279804BF97B}"/>
    <hyperlink ref="L57" r:id="rId112" xr:uid="{7091F528-742B-4823-8FE4-8BFF3886322B}"/>
    <hyperlink ref="O69" r:id="rId113" xr:uid="{E4342DA2-9BDA-4853-A837-5B040CF5F05B}"/>
    <hyperlink ref="O71" r:id="rId114" xr:uid="{D6AEE975-89F8-4D93-93B8-82BCE86C3C1C}"/>
    <hyperlink ref="O72" r:id="rId115" xr:uid="{23030CB1-F5C0-4B2B-BAE0-53A707F9C89D}"/>
    <hyperlink ref="O73" r:id="rId116" xr:uid="{E151A9F5-E22A-4477-9F87-7B90A8F6490F}"/>
    <hyperlink ref="H54" r:id="rId117" xr:uid="{CA635F26-2CA7-4F3E-AF31-6CAC19E19BD5}"/>
    <hyperlink ref="G57" r:id="rId118" xr:uid="{1EB79C8E-9F7C-4582-86D1-D3626E1C6F94}"/>
    <hyperlink ref="J66" r:id="rId119" xr:uid="{6947B137-6716-4A4A-A233-59CC68B723A3}"/>
    <hyperlink ref="L66" r:id="rId120" xr:uid="{94C49DFA-3CCD-43E2-A941-124A5374F25C}"/>
    <hyperlink ref="D70" r:id="rId121" xr:uid="{F765A1FD-CA8D-4727-94E8-C40D1F4C4C4D}"/>
    <hyperlink ref="F70" r:id="rId122" xr:uid="{99566219-11A2-4EC3-A148-88680D228222}"/>
    <hyperlink ref="F134" r:id="rId123" xr:uid="{E3B88500-62C4-478F-B873-55578CDE4DBD}"/>
    <hyperlink ref="O56" r:id="rId124" xr:uid="{14B1E236-7BC6-43A0-8647-7BBE8B4AFA45}"/>
    <hyperlink ref="M153" r:id="rId125" xr:uid="{0402AAD9-71AD-4AC3-8CB4-99F0E5619C13}"/>
    <hyperlink ref="F132" r:id="rId126" xr:uid="{1C611AA4-C7F1-4CF8-AC3B-324FC8B1DD9C}"/>
    <hyperlink ref="F135" r:id="rId127" xr:uid="{4EA982F8-F6CA-41A1-8EED-3EA4F9F3E76D}"/>
    <hyperlink ref="L132" r:id="rId128" xr:uid="{00AC1050-FB30-4CA7-967D-95786A1584C6}"/>
    <hyperlink ref="D53" r:id="rId129" xr:uid="{ED81010D-F07D-4812-B311-060BF5A2AF63}"/>
    <hyperlink ref="F53" r:id="rId130" xr:uid="{DD77706B-F552-4707-9AC0-C3539548CA60}"/>
    <hyperlink ref="O54" r:id="rId131" xr:uid="{D4881578-D31B-446C-BC6F-6A2D1F71F687}"/>
    <hyperlink ref="O66" r:id="rId132" xr:uid="{8F4FFAE4-D6F2-46CC-8963-B2F4F77C86F7}"/>
    <hyperlink ref="O75" r:id="rId133" xr:uid="{A13B941E-BC86-42B4-8216-3C1F32BE6B97}"/>
    <hyperlink ref="O76" r:id="rId134" xr:uid="{5B4368F2-854B-4C8E-A69A-8CFB3F691248}"/>
    <hyperlink ref="O77" r:id="rId135" xr:uid="{59A462B4-8F6D-4630-B4FC-E599618A217E}"/>
    <hyperlink ref="G134" r:id="rId136" xr:uid="{A552DFB8-5312-4905-9EA3-7E68034C1F30}"/>
    <hyperlink ref="F186" r:id="rId137" xr:uid="{9EB58158-C42F-4900-92F0-82838EC9A73C}"/>
    <hyperlink ref="L54" r:id="rId138" xr:uid="{7D1C9CA7-F129-4E42-92FB-AEAE138C84ED}"/>
    <hyperlink ref="L70" r:id="rId139" xr:uid="{BE35A891-E292-4F3C-AAB4-16C13A1E7905}"/>
    <hyperlink ref="F187" r:id="rId140" xr:uid="{98A6FC56-6787-40D5-9148-9FE30CF6E8ED}"/>
    <hyperlink ref="L134" r:id="rId141" xr:uid="{68B24803-C7FD-4B29-A9B6-9EE1F99CE947}"/>
    <hyperlink ref="L135" r:id="rId142" xr:uid="{4AF18569-8434-42C7-9C78-74ACA2517A3B}"/>
    <hyperlink ref="F136" r:id="rId143" xr:uid="{93DF9BC2-ABCA-40B9-AF0E-E58F6831C3AB}"/>
    <hyperlink ref="F74" r:id="rId144" xr:uid="{C1C9A8C9-B983-4693-8E90-751222A96820}"/>
    <hyperlink ref="G187" r:id="rId145" xr:uid="{483E6DBA-7F00-49C7-AF51-0B2EA4F1F4F7}"/>
    <hyperlink ref="L53" r:id="rId146" xr:uid="{D05BC85F-CD93-4CC2-9F0A-E5EFADD4281D}"/>
    <hyperlink ref="H136" r:id="rId147" xr:uid="{ACC69E9B-F3C6-4DEA-BF88-991AFBD38C8B}"/>
    <hyperlink ref="G136" r:id="rId148" xr:uid="{3B330C26-1966-4DB8-BB93-BD681CD7F436}"/>
    <hyperlink ref="O53" r:id="rId149" xr:uid="{6B5BFEB3-076D-49A7-9E93-16AA142A6B1E}"/>
    <hyperlink ref="O57" r:id="rId150" xr:uid="{ACEAAE21-8D1D-4AB4-87EE-FD491AA2C54B}"/>
    <hyperlink ref="O65" r:id="rId151" xr:uid="{2F3FCD36-AC1A-4130-AF9C-2D585BB12A10}"/>
    <hyperlink ref="O83" r:id="rId152" xr:uid="{86457EA8-3756-462B-8FF0-0B59269CA1A9}"/>
    <hyperlink ref="G74" r:id="rId153" xr:uid="{331AEE93-65A3-4053-85E5-BE43E7F9B29F}"/>
    <hyperlink ref="F79" r:id="rId154" xr:uid="{ECF895B7-66FC-4BB2-BEA3-55A7D41BD56E}"/>
    <hyperlink ref="D79" r:id="rId155" xr:uid="{13295110-565E-4250-A2BD-721497E52A10}"/>
    <hyperlink ref="L136" r:id="rId156" xr:uid="{D7838158-C018-4962-9D14-8FBF0466C333}"/>
    <hyperlink ref="L74" r:id="rId157" xr:uid="{D2B71AC7-4281-4EE8-99F8-C8335006C68D}"/>
    <hyperlink ref="D82" r:id="rId158" xr:uid="{9737DB9A-7639-4527-82B1-1D910DC91530}"/>
    <hyperlink ref="F82" r:id="rId159" xr:uid="{8A18B225-1D7F-4829-AF55-C0C9362AB71F}"/>
    <hyperlink ref="D85" r:id="rId160" xr:uid="{E35A58C6-2CCF-432C-8DBD-C7265ECC744C}"/>
    <hyperlink ref="F85" r:id="rId161" xr:uid="{DCF4A8D8-1B24-44DB-9B41-BE50FF09A6F3}"/>
    <hyperlink ref="D86" r:id="rId162" xr:uid="{F41B3F19-9E17-4BEB-A185-9E01947D780C}"/>
    <hyperlink ref="F169" r:id="rId163" xr:uid="{81377D5F-C29B-4D61-9B70-9D15FA13CE5D}"/>
    <hyperlink ref="G169" r:id="rId164" xr:uid="{202CC05A-ADA1-452C-8B27-FC0F0FB10E66}"/>
    <hyperlink ref="F86" r:id="rId165" xr:uid="{E9331F93-FBA0-409B-B132-19B050CF9DC0}"/>
    <hyperlink ref="D80" r:id="rId166" xr:uid="{48A55E51-D4BD-4B2C-947B-ABD900CF279D}"/>
    <hyperlink ref="L79" r:id="rId167" xr:uid="{B836328D-36AC-497C-8ACD-BC3E4157A7A2}"/>
    <hyperlink ref="O70" r:id="rId168" xr:uid="{6B4C3060-1F47-4E72-93DA-220F0FBE5919}"/>
    <hyperlink ref="O78" r:id="rId169" xr:uid="{5B3A78C5-1B43-482C-84AB-270660F703CE}"/>
    <hyperlink ref="O88" r:id="rId170" xr:uid="{0E04BD50-4766-47C3-B15A-0A95AA111A32}"/>
    <hyperlink ref="O89" r:id="rId171" xr:uid="{E4DA8BBD-8CAC-41F4-AA2E-7FD29BAEF05E}"/>
    <hyperlink ref="O91" r:id="rId172" xr:uid="{16794264-74C4-4044-9115-77E1104244DC}"/>
    <hyperlink ref="O92" r:id="rId173" xr:uid="{69E510FC-AAA6-49C7-9AFA-004E244DD2B6}"/>
    <hyperlink ref="O93" r:id="rId174" xr:uid="{D19A2CCD-759A-4D65-B1C3-38D5E1A214C9}"/>
    <hyperlink ref="F80" r:id="rId175" xr:uid="{849FD1FB-A5BD-43EC-92E0-0708A887BC8B}"/>
    <hyperlink ref="G82" r:id="rId176" xr:uid="{FDB3580B-438C-43DD-A56E-B90C5F28DFA6}"/>
    <hyperlink ref="G86" r:id="rId177" xr:uid="{9A478EF3-542A-4998-93C3-44FDAE261BA3}"/>
    <hyperlink ref="F95" r:id="rId178" xr:uid="{A38E9061-2E0E-44F9-AA67-106E3673A999}"/>
    <hyperlink ref="D81" r:id="rId179" xr:uid="{8654D4ED-EFBB-4DE4-B272-C5D1A2B4111A}"/>
    <hyperlink ref="F81" r:id="rId180" xr:uid="{371E4CE3-1F0F-4533-9BBB-92D1C63081B5}"/>
    <hyperlink ref="L82" r:id="rId181" xr:uid="{A9580EB8-A7C0-4A89-99BC-38A660FDF75B}"/>
    <hyperlink ref="L85" r:id="rId182" xr:uid="{B6E0B0A1-C54F-4285-A942-F01677EFAE69}"/>
    <hyperlink ref="L86" r:id="rId183" xr:uid="{39441819-59E0-4C6E-8E29-2ECFF9051864}"/>
    <hyperlink ref="F94" r:id="rId184" xr:uid="{BDD7D0B3-FCE7-4970-88BD-5575C634804D}"/>
    <hyperlink ref="D97" r:id="rId185" xr:uid="{4B37BFA9-3BC9-45B1-B2E7-D1B96661E2AB}"/>
    <hyperlink ref="F97" r:id="rId186" xr:uid="{78D8C87E-2874-4358-AAC1-052FACB608AA}"/>
    <hyperlink ref="H169" r:id="rId187" xr:uid="{6CD711D1-A7C0-42E9-8183-5FFDDA44C89B}"/>
    <hyperlink ref="I169" r:id="rId188" xr:uid="{6A15B8DB-4441-48AF-9D44-BEC446C67D3F}"/>
    <hyperlink ref="L80" r:id="rId189" xr:uid="{6FF3C183-93E6-490E-AD7F-D9A7E6EDD998}"/>
    <hyperlink ref="L169" r:id="rId190" xr:uid="{272CA759-DB57-434F-8B6E-30DBF7449565}"/>
    <hyperlink ref="F154" r:id="rId191" xr:uid="{859043DB-08E2-424E-910B-97CD9196ED1C}"/>
    <hyperlink ref="D87" r:id="rId192" xr:uid="{664E0647-061B-4E24-A374-E3758E73DFBB}"/>
    <hyperlink ref="F87" r:id="rId193" xr:uid="{87EF13B0-9158-41D7-ACBA-865443DDE250}"/>
    <hyperlink ref="O74" r:id="rId194" xr:uid="{B1240DF2-6694-45A6-925D-5E088D709EDA}"/>
    <hyperlink ref="O79" r:id="rId195" xr:uid="{01EC2C88-7134-489A-BD76-557019D33099}"/>
    <hyperlink ref="O82" r:id="rId196" xr:uid="{C99D927C-E806-429E-BD85-E3743F5FD91A}"/>
    <hyperlink ref="O98" r:id="rId197" xr:uid="{8AB34856-EEFB-4499-96AC-36C3EECD3011}"/>
    <hyperlink ref="O80" r:id="rId198" xr:uid="{2DE11A0D-47AA-40F2-8856-86D3CBBBD044}"/>
    <hyperlink ref="O85" r:id="rId199" xr:uid="{3D4F2B05-7CA7-4CB3-AC32-28B551AF08D8}"/>
    <hyperlink ref="O86" r:id="rId200" xr:uid="{54F34AAE-26ED-4F68-9BC1-D3B39EB12B9D}"/>
    <hyperlink ref="O101" r:id="rId201" xr:uid="{47DBABF0-1136-460B-8C8F-519BCF7B19B0}"/>
    <hyperlink ref="G97" r:id="rId202" xr:uid="{38D09C4E-3933-475D-AF7A-E91875A4CF49}"/>
    <hyperlink ref="G154" r:id="rId203" xr:uid="{22E822BD-57ED-48D0-A897-86F1EA763074}"/>
    <hyperlink ref="D99" r:id="rId204" xr:uid="{83B30CB1-7637-4D19-B376-E8F788FC4CE0}"/>
    <hyperlink ref="D100" r:id="rId205" xr:uid="{641BA2DF-CBAB-4E22-98AA-A486019E641C}"/>
    <hyperlink ref="L95" r:id="rId206" xr:uid="{EBA63651-E41C-4503-BCFD-7C46F616A464}"/>
    <hyperlink ref="H154" r:id="rId207" xr:uid="{63D096A4-1CD3-4C7E-B884-404BEE372F18}"/>
    <hyperlink ref="F99" r:id="rId208" xr:uid="{2281A611-C876-4863-967E-081CE9A07A03}"/>
    <hyperlink ref="F100" r:id="rId209" xr:uid="{F664D99D-4644-46B3-ACD2-63D6CA8F2C07}"/>
    <hyperlink ref="L81" r:id="rId210" xr:uid="{E7AEA078-5AEE-45A2-9B08-A965FA4DEB2C}"/>
    <hyperlink ref="L97" r:id="rId211" xr:uid="{1E037F50-1E06-44B9-8066-4D9A887EC75A}"/>
    <hyperlink ref="G87" r:id="rId212" xr:uid="{115A11F5-14E7-43C7-803B-FAE86135B7F7}"/>
    <hyperlink ref="F137" r:id="rId213" xr:uid="{329B01A4-FB1C-4ED7-92F2-FCE554DBE457}"/>
    <hyperlink ref="L87" r:id="rId214" xr:uid="{DEEEA777-D831-4AD2-A028-9AD989C4997D}"/>
    <hyperlink ref="L94" r:id="rId215" xr:uid="{11C712D2-D33F-4DB9-8AF7-94E58514358E}"/>
    <hyperlink ref="O95" r:id="rId216" xr:uid="{78197BDD-EAAD-403B-818F-76E496C4B8BF}"/>
    <hyperlink ref="O103" r:id="rId217" xr:uid="{3C0BD1FD-6FBC-463E-837F-1997D427BEE5}"/>
    <hyperlink ref="O104" r:id="rId218" xr:uid="{318C93F2-301E-4A9E-BF57-DEC0A3097FCC}"/>
    <hyperlink ref="O105" r:id="rId219" xr:uid="{5F2C3BDF-91F6-4B24-BF07-8AFF2935E40A}"/>
    <hyperlink ref="L99" r:id="rId220" xr:uid="{2633A32C-8563-456A-937F-53FC8212043F}"/>
    <hyperlink ref="L100" r:id="rId221" xr:uid="{5FFEAA29-6393-4649-846D-9C50E10D03CA}"/>
    <hyperlink ref="G137" r:id="rId222" xr:uid="{1B21728D-A2A3-41FB-9A0E-20BCC8A9D9B4}"/>
    <hyperlink ref="H137" r:id="rId223" xr:uid="{42F7353F-5118-4CDD-9D4A-CE00AF2A69B0}"/>
    <hyperlink ref="O94" r:id="rId224" xr:uid="{2340A875-DCA1-4CCA-BA68-D0C1CA5D1768}"/>
    <hyperlink ref="O97" r:id="rId225" xr:uid="{6CFB46BE-9F32-433F-B6B3-EFB341ADBD55}"/>
    <hyperlink ref="O107" r:id="rId226" xr:uid="{086B40AD-1229-495D-ADC0-8AFEF917DCEE}"/>
    <hyperlink ref="O108" r:id="rId227" xr:uid="{7DC25D77-2D0A-4AB3-873E-09DDEC027439}"/>
    <hyperlink ref="O109" r:id="rId228" xr:uid="{DBE09ADA-E5A3-4B1B-A08D-4A8EE3108BA9}"/>
    <hyperlink ref="O81" r:id="rId229" xr:uid="{AB387264-B31D-4205-B1FF-8FEC2DDD1347}"/>
    <hyperlink ref="O87" r:id="rId230" xr:uid="{2EBCBEB6-8177-4F85-8CBD-A69DC20CB530}"/>
    <hyperlink ref="O99" r:id="rId231" xr:uid="{8C909E9A-DB4F-42A2-90E3-C30AC3D694F3}"/>
    <hyperlink ref="L137" r:id="rId232" xr:uid="{8B55E02F-C139-4181-B547-38F0CDE05CF7}"/>
    <hyperlink ref="O110" r:id="rId233" xr:uid="{4A3864B1-5396-4955-80A7-7FE82C6177BD}"/>
    <hyperlink ref="O111" r:id="rId234" xr:uid="{0A9E4356-51B7-4C0A-B72E-54C703345DFC}"/>
    <hyperlink ref="O112" r:id="rId235" xr:uid="{42B662BE-AB30-4CC0-8006-67646FD74ACF}"/>
    <hyperlink ref="O113" r:id="rId236" xr:uid="{25B711D0-4D20-4CF0-B675-5DC08533D86F}"/>
    <hyperlink ref="O106" r:id="rId237" xr:uid="{5BEB40EC-A038-4818-B040-4427211742AE}"/>
    <hyperlink ref="O102" r:id="rId238" xr:uid="{CA9B5D5B-652F-4EA5-BF54-E58778F04063}"/>
    <hyperlink ref="O96" r:id="rId239" xr:uid="{3238524B-2CED-4768-BA10-86CB0BDDF6F9}"/>
    <hyperlink ref="O90" r:id="rId240" xr:uid="{DAD40E14-8A3B-4373-9E33-002328D10E2A}"/>
    <hyperlink ref="O84" r:id="rId241" xr:uid="{A3AFF637-176B-4021-817F-6510FBD9A247}"/>
    <hyperlink ref="O62" r:id="rId242" xr:uid="{D0209C51-07E1-45AD-8F47-58B3156328DF}"/>
    <hyperlink ref="O61" r:id="rId243" xr:uid="{0DF988FF-7428-45F9-9B25-06C0F0D3EDC5}"/>
    <hyperlink ref="O60" r:id="rId244" xr:uid="{2DE74C08-C157-43DE-9583-0A27E76C08A8}"/>
    <hyperlink ref="O55" r:id="rId245" xr:uid="{1B8A64E3-A1F0-40A2-86F6-EB0D54ABD501}"/>
    <hyperlink ref="O52" r:id="rId246" xr:uid="{CEFDEC03-F82A-4936-82C2-54CE076C147C}"/>
    <hyperlink ref="O50" r:id="rId247" xr:uid="{3A14EA88-B359-49BB-BDB7-ACA4EA413372}"/>
    <hyperlink ref="O25" r:id="rId248" xr:uid="{F004390B-78D4-404E-91A1-2230099F7133}"/>
    <hyperlink ref="O30" r:id="rId249" xr:uid="{34B679F5-3867-48F2-AA79-068967FFDC4B}"/>
    <hyperlink ref="O32" r:id="rId250" xr:uid="{24F0DC98-ABF5-46F4-947C-49CBC006C2FE}"/>
    <hyperlink ref="O37" r:id="rId251" xr:uid="{6CD5EEF6-FBBA-4BF4-867D-30A3BDC232A6}"/>
    <hyperlink ref="O38" r:id="rId252" xr:uid="{76113655-FC82-48DE-A867-35D109BBE74B}"/>
    <hyperlink ref="O39" r:id="rId253" xr:uid="{CE400FB9-8213-4798-8369-818FDC798FFA}"/>
    <hyperlink ref="O44" r:id="rId254" xr:uid="{C9F76498-CF17-4DE9-8FA9-4C0C6D05DE3D}"/>
    <hyperlink ref="O45" r:id="rId255" xr:uid="{47E9C8AB-4351-4E4C-8F5D-4F7D1F602D1E}"/>
    <hyperlink ref="O114" r:id="rId256" xr:uid="{EC1E8DC7-6800-4474-BB1A-34424FEBD351}"/>
    <hyperlink ref="O28" r:id="rId257" xr:uid="{C4230B72-0B4E-4606-A1DD-A1F46FC53515}"/>
  </hyperlinks>
  <pageMargins left="0.7" right="0.7" top="0.75" bottom="0.75" header="0.3" footer="0.3"/>
  <pageSetup orientation="portrait" verticalDpi="0" r:id="rId25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4EE02-4441-4427-93D5-087A2C016D89}">
  <dimension ref="A1:AH601"/>
  <sheetViews>
    <sheetView topLeftCell="A82" workbookViewId="0">
      <selection activeCell="B96" sqref="B96"/>
    </sheetView>
  </sheetViews>
  <sheetFormatPr defaultColWidth="9.42578125" defaultRowHeight="11.25" x14ac:dyDescent="0.2"/>
  <cols>
    <col min="1" max="1" width="6.5703125" style="1" customWidth="1"/>
    <col min="2" max="2" width="47.42578125" style="1" customWidth="1"/>
    <col min="3" max="3" width="8.5703125" style="1" customWidth="1"/>
    <col min="4" max="4" width="9" style="10" bestFit="1" customWidth="1"/>
    <col min="5" max="5" width="19.42578125" style="1" bestFit="1" customWidth="1"/>
    <col min="6" max="9" width="9.42578125" style="1" customWidth="1"/>
    <col min="10" max="11" width="9.5703125" style="1" customWidth="1"/>
    <col min="12" max="12" width="10.5703125" style="14" customWidth="1"/>
    <col min="13" max="13" width="11.42578125" style="14" bestFit="1" customWidth="1"/>
    <col min="14" max="14" width="9.5703125" style="14" bestFit="1" customWidth="1"/>
    <col min="15" max="15" width="9.5703125" style="1" customWidth="1"/>
    <col min="16" max="16" width="11.42578125" style="1" bestFit="1" customWidth="1"/>
    <col min="17" max="17" width="7.42578125" style="1" bestFit="1" customWidth="1"/>
    <col min="18" max="18" width="24.5703125" style="1" bestFit="1" customWidth="1"/>
    <col min="19" max="20" width="16.42578125" style="1" bestFit="1" customWidth="1"/>
    <col min="21" max="21" width="16.42578125" style="1" customWidth="1"/>
    <col min="22" max="22" width="9.42578125" style="14" bestFit="1" customWidth="1"/>
    <col min="23" max="23" width="10.42578125" style="14" bestFit="1" customWidth="1"/>
    <col min="24" max="24" width="28.5703125" style="14" bestFit="1" customWidth="1"/>
    <col min="25" max="16384" width="9.42578125" style="1"/>
  </cols>
  <sheetData>
    <row r="1" spans="1:24" x14ac:dyDescent="0.2">
      <c r="A1" s="1" t="s">
        <v>63</v>
      </c>
      <c r="C1" s="174" t="s">
        <v>916</v>
      </c>
    </row>
    <row r="2" spans="1:24" ht="15" customHeight="1" x14ac:dyDescent="0.2">
      <c r="A2" s="37" t="s">
        <v>56</v>
      </c>
    </row>
    <row r="3" spans="1:24" ht="15" customHeight="1" x14ac:dyDescent="0.2">
      <c r="A3" s="37" t="s">
        <v>55</v>
      </c>
    </row>
    <row r="4" spans="1:24" ht="15" customHeight="1" x14ac:dyDescent="0.2">
      <c r="A4" s="37" t="s">
        <v>57</v>
      </c>
    </row>
    <row r="5" spans="1:24" ht="15" customHeight="1" x14ac:dyDescent="0.2">
      <c r="A5" s="37" t="s">
        <v>58</v>
      </c>
    </row>
    <row r="6" spans="1:24" ht="15" customHeight="1" x14ac:dyDescent="0.2">
      <c r="A6" s="37" t="s">
        <v>60</v>
      </c>
    </row>
    <row r="7" spans="1:24" ht="15" customHeight="1" x14ac:dyDescent="0.2">
      <c r="A7" s="37" t="s">
        <v>61</v>
      </c>
    </row>
    <row r="8" spans="1:24" ht="15" customHeight="1" x14ac:dyDescent="0.2"/>
    <row r="9" spans="1:24" ht="15.75" x14ac:dyDescent="0.25">
      <c r="A9" s="88" t="s">
        <v>33</v>
      </c>
      <c r="B9" s="88"/>
      <c r="R9" s="6"/>
      <c r="S9" s="6"/>
      <c r="T9" s="6"/>
      <c r="U9" s="6"/>
    </row>
    <row r="10" spans="1:24" ht="15.75" x14ac:dyDescent="0.25">
      <c r="A10" s="88" t="s">
        <v>917</v>
      </c>
      <c r="B10" s="88"/>
      <c r="R10" s="6"/>
      <c r="S10" s="6"/>
      <c r="T10" s="6"/>
      <c r="U10" s="6"/>
      <c r="X10" s="23"/>
    </row>
    <row r="11" spans="1:24" ht="12" thickBot="1" x14ac:dyDescent="0.25">
      <c r="X11" s="23"/>
    </row>
    <row r="12" spans="1:24" ht="11.85" customHeight="1" x14ac:dyDescent="0.2">
      <c r="A12" s="17"/>
      <c r="B12" s="17"/>
      <c r="C12" s="17"/>
      <c r="D12" s="41"/>
      <c r="E12" s="17"/>
      <c r="F12" s="17"/>
      <c r="G12" s="17"/>
      <c r="H12" s="17"/>
      <c r="I12" s="17"/>
      <c r="J12" s="17"/>
      <c r="K12" s="18" t="s">
        <v>10</v>
      </c>
      <c r="L12" s="18"/>
      <c r="M12" s="18" t="s">
        <v>53</v>
      </c>
      <c r="N12" s="18" t="s">
        <v>47</v>
      </c>
      <c r="O12" s="18" t="s">
        <v>37</v>
      </c>
      <c r="P12" s="17"/>
      <c r="Q12" s="17"/>
      <c r="R12" s="18"/>
      <c r="S12" s="18"/>
      <c r="T12" s="18"/>
      <c r="U12" s="18"/>
      <c r="V12" s="18" t="s">
        <v>19</v>
      </c>
      <c r="W12" s="18"/>
      <c r="X12" s="18"/>
    </row>
    <row r="13" spans="1:24" ht="11.85" customHeight="1" x14ac:dyDescent="0.2">
      <c r="A13" s="19" t="s">
        <v>0</v>
      </c>
      <c r="B13" s="19" t="s">
        <v>1</v>
      </c>
      <c r="C13" s="19" t="s">
        <v>0</v>
      </c>
      <c r="D13" s="42" t="s">
        <v>39</v>
      </c>
      <c r="E13" s="19" t="s">
        <v>2</v>
      </c>
      <c r="F13" s="19" t="s">
        <v>0</v>
      </c>
      <c r="G13" s="19" t="s">
        <v>41</v>
      </c>
      <c r="H13" s="19" t="s">
        <v>41</v>
      </c>
      <c r="I13" s="19" t="s">
        <v>41</v>
      </c>
      <c r="J13" s="19" t="s">
        <v>41</v>
      </c>
      <c r="K13" s="19" t="s">
        <v>3</v>
      </c>
      <c r="L13" s="19" t="s">
        <v>51</v>
      </c>
      <c r="M13" s="19" t="s">
        <v>54</v>
      </c>
      <c r="N13" s="19" t="s">
        <v>50</v>
      </c>
      <c r="O13" s="19" t="s">
        <v>38</v>
      </c>
      <c r="P13" s="19" t="s">
        <v>4</v>
      </c>
      <c r="Q13" s="19" t="s">
        <v>4</v>
      </c>
      <c r="R13" s="19" t="s">
        <v>14</v>
      </c>
      <c r="S13" s="19" t="s">
        <v>15</v>
      </c>
      <c r="T13" s="19" t="s">
        <v>16</v>
      </c>
      <c r="U13" s="19" t="s">
        <v>70</v>
      </c>
      <c r="V13" s="19" t="s">
        <v>20</v>
      </c>
      <c r="W13" s="19" t="s">
        <v>26</v>
      </c>
      <c r="X13" s="19" t="s">
        <v>65</v>
      </c>
    </row>
    <row r="14" spans="1:24" ht="11.85" customHeight="1" x14ac:dyDescent="0.2">
      <c r="A14" s="19" t="s">
        <v>5</v>
      </c>
      <c r="B14" s="19"/>
      <c r="C14" s="19" t="s">
        <v>39</v>
      </c>
      <c r="D14" s="42" t="s">
        <v>40</v>
      </c>
      <c r="E14" s="19" t="s">
        <v>7</v>
      </c>
      <c r="F14" s="19" t="s">
        <v>64</v>
      </c>
      <c r="G14" s="19" t="s">
        <v>42</v>
      </c>
      <c r="H14" s="19" t="s">
        <v>43</v>
      </c>
      <c r="I14" s="19" t="s">
        <v>44</v>
      </c>
      <c r="J14" s="19" t="s">
        <v>45</v>
      </c>
      <c r="K14" s="19" t="s">
        <v>6</v>
      </c>
      <c r="L14" s="19" t="s">
        <v>36</v>
      </c>
      <c r="M14" s="19" t="s">
        <v>13</v>
      </c>
      <c r="N14" s="19" t="s">
        <v>13</v>
      </c>
      <c r="O14" s="19" t="s">
        <v>4</v>
      </c>
      <c r="P14" s="19" t="s">
        <v>9</v>
      </c>
      <c r="Q14" s="19" t="s">
        <v>6</v>
      </c>
      <c r="R14" s="19"/>
      <c r="S14" s="19"/>
      <c r="T14" s="19"/>
      <c r="U14" s="19"/>
      <c r="V14" s="19" t="s">
        <v>28</v>
      </c>
      <c r="W14" s="19" t="s">
        <v>27</v>
      </c>
      <c r="X14" s="19"/>
    </row>
    <row r="15" spans="1:24" ht="2.25" customHeight="1" thickBot="1" x14ac:dyDescent="0.25">
      <c r="A15" s="21"/>
      <c r="B15" s="20"/>
      <c r="C15" s="22"/>
      <c r="D15" s="43"/>
      <c r="E15" s="20"/>
      <c r="F15" s="22"/>
      <c r="G15" s="22"/>
      <c r="H15" s="22"/>
      <c r="I15" s="22"/>
      <c r="J15" s="22"/>
      <c r="K15" s="20"/>
      <c r="L15" s="20"/>
      <c r="M15" s="20"/>
      <c r="N15" s="20"/>
      <c r="O15" s="20"/>
      <c r="P15" s="20"/>
      <c r="Q15" s="20"/>
      <c r="R15" s="20"/>
      <c r="S15" s="20"/>
      <c r="T15" s="20"/>
      <c r="U15" s="20"/>
      <c r="V15" s="20"/>
      <c r="W15" s="20"/>
      <c r="X15" s="20"/>
    </row>
    <row r="16" spans="1:24" ht="22.5" x14ac:dyDescent="0.2">
      <c r="A16" s="2" t="s">
        <v>918</v>
      </c>
      <c r="B16" s="81" t="s">
        <v>919</v>
      </c>
      <c r="C16" s="4">
        <v>43404</v>
      </c>
      <c r="D16" s="48" t="s">
        <v>920</v>
      </c>
      <c r="E16" s="3" t="s">
        <v>921</v>
      </c>
      <c r="F16" s="47" t="s">
        <v>922</v>
      </c>
      <c r="G16" s="47"/>
      <c r="H16" s="4"/>
      <c r="I16" s="4"/>
      <c r="J16" s="4"/>
      <c r="K16" s="4">
        <v>43431</v>
      </c>
      <c r="L16" s="175" t="s">
        <v>923</v>
      </c>
      <c r="M16" s="176">
        <f>756546.55+846878+707613.65</f>
        <v>2311038.2000000002</v>
      </c>
      <c r="N16" s="32">
        <v>3</v>
      </c>
      <c r="O16" s="47" t="s">
        <v>924</v>
      </c>
      <c r="P16" s="89">
        <v>704878.05</v>
      </c>
      <c r="Q16" s="4">
        <v>43479</v>
      </c>
      <c r="R16" s="90" t="s">
        <v>925</v>
      </c>
      <c r="S16" s="90"/>
      <c r="T16" s="90"/>
      <c r="U16" s="90"/>
      <c r="V16" s="33" t="s">
        <v>926</v>
      </c>
      <c r="W16" s="33" t="s">
        <v>24</v>
      </c>
      <c r="X16" s="53"/>
    </row>
    <row r="17" spans="1:24" ht="22.5" x14ac:dyDescent="0.2">
      <c r="A17" s="2" t="s">
        <v>927</v>
      </c>
      <c r="B17" s="138" t="s">
        <v>928</v>
      </c>
      <c r="C17" s="4" t="s">
        <v>73</v>
      </c>
      <c r="D17" s="44" t="s">
        <v>73</v>
      </c>
      <c r="E17" s="3" t="s">
        <v>86</v>
      </c>
      <c r="F17" s="5" t="s">
        <v>86</v>
      </c>
      <c r="G17" s="47"/>
      <c r="H17" s="47"/>
      <c r="I17" s="4"/>
      <c r="J17" s="4"/>
      <c r="K17" s="4" t="s">
        <v>86</v>
      </c>
      <c r="L17" s="5" t="s">
        <v>86</v>
      </c>
      <c r="M17" s="31">
        <v>88393</v>
      </c>
      <c r="N17" s="32">
        <v>1</v>
      </c>
      <c r="O17" s="49" t="s">
        <v>929</v>
      </c>
      <c r="P17" s="95">
        <v>88393</v>
      </c>
      <c r="Q17" s="5">
        <v>43381</v>
      </c>
      <c r="R17" s="90" t="s">
        <v>930</v>
      </c>
      <c r="S17" s="91"/>
      <c r="T17" s="91"/>
      <c r="U17" s="91"/>
      <c r="V17" s="33" t="s">
        <v>931</v>
      </c>
      <c r="W17" s="33" t="s">
        <v>24</v>
      </c>
      <c r="X17" s="53" t="s">
        <v>286</v>
      </c>
    </row>
    <row r="18" spans="1:24" ht="22.5" x14ac:dyDescent="0.2">
      <c r="A18" s="2" t="s">
        <v>932</v>
      </c>
      <c r="B18" s="138" t="s">
        <v>933</v>
      </c>
      <c r="C18" s="5" t="s">
        <v>73</v>
      </c>
      <c r="D18" s="44" t="s">
        <v>73</v>
      </c>
      <c r="E18" s="3" t="s">
        <v>86</v>
      </c>
      <c r="F18" s="5" t="s">
        <v>86</v>
      </c>
      <c r="G18" s="5"/>
      <c r="H18" s="5"/>
      <c r="I18" s="5"/>
      <c r="J18" s="5"/>
      <c r="K18" s="4" t="s">
        <v>86</v>
      </c>
      <c r="L18" s="5" t="s">
        <v>86</v>
      </c>
      <c r="M18" s="31">
        <v>940584</v>
      </c>
      <c r="N18" s="32">
        <v>1</v>
      </c>
      <c r="O18" s="47" t="s">
        <v>934</v>
      </c>
      <c r="P18" s="89">
        <v>940584</v>
      </c>
      <c r="Q18" s="4">
        <v>43381</v>
      </c>
      <c r="R18" s="90" t="s">
        <v>336</v>
      </c>
      <c r="S18" s="90"/>
      <c r="T18" s="90"/>
      <c r="U18" s="90"/>
      <c r="V18" s="33" t="s">
        <v>931</v>
      </c>
      <c r="W18" s="33" t="s">
        <v>22</v>
      </c>
      <c r="X18" s="53" t="s">
        <v>935</v>
      </c>
    </row>
    <row r="19" spans="1:24" ht="22.5" x14ac:dyDescent="0.2">
      <c r="A19" s="2" t="s">
        <v>936</v>
      </c>
      <c r="B19" s="138" t="s">
        <v>937</v>
      </c>
      <c r="C19" s="5" t="s">
        <v>73</v>
      </c>
      <c r="D19" s="44" t="s">
        <v>73</v>
      </c>
      <c r="E19" s="3" t="s">
        <v>86</v>
      </c>
      <c r="F19" s="5" t="s">
        <v>86</v>
      </c>
      <c r="G19" s="49"/>
      <c r="H19" s="5"/>
      <c r="I19" s="5"/>
      <c r="J19" s="5"/>
      <c r="K19" s="4" t="s">
        <v>86</v>
      </c>
      <c r="L19" s="5" t="s">
        <v>86</v>
      </c>
      <c r="M19" s="31">
        <v>221273</v>
      </c>
      <c r="N19" s="32">
        <v>1</v>
      </c>
      <c r="O19" s="47" t="s">
        <v>938</v>
      </c>
      <c r="P19" s="89">
        <v>221273</v>
      </c>
      <c r="Q19" s="4">
        <v>43381</v>
      </c>
      <c r="R19" s="90" t="s">
        <v>308</v>
      </c>
      <c r="S19" s="90"/>
      <c r="T19" s="90"/>
      <c r="U19" s="90"/>
      <c r="V19" s="33" t="s">
        <v>931</v>
      </c>
      <c r="W19" s="33" t="s">
        <v>22</v>
      </c>
      <c r="X19" s="53" t="s">
        <v>309</v>
      </c>
    </row>
    <row r="20" spans="1:24" x14ac:dyDescent="0.2">
      <c r="A20" s="2" t="s">
        <v>939</v>
      </c>
      <c r="B20" s="138" t="s">
        <v>940</v>
      </c>
      <c r="C20" s="5" t="s">
        <v>73</v>
      </c>
      <c r="D20" s="44" t="s">
        <v>73</v>
      </c>
      <c r="E20" s="3" t="s">
        <v>86</v>
      </c>
      <c r="F20" s="5" t="s">
        <v>86</v>
      </c>
      <c r="G20" s="5"/>
      <c r="H20" s="5"/>
      <c r="I20" s="5"/>
      <c r="J20" s="5"/>
      <c r="K20" s="4" t="s">
        <v>86</v>
      </c>
      <c r="L20" s="5" t="s">
        <v>86</v>
      </c>
      <c r="M20" s="31">
        <v>395681.15</v>
      </c>
      <c r="N20" s="32">
        <v>1</v>
      </c>
      <c r="O20" s="47" t="s">
        <v>941</v>
      </c>
      <c r="P20" s="89">
        <v>395681.15</v>
      </c>
      <c r="Q20" s="4">
        <v>43381</v>
      </c>
      <c r="R20" s="90" t="s">
        <v>370</v>
      </c>
      <c r="S20" s="90"/>
      <c r="T20" s="90"/>
      <c r="U20" s="90"/>
      <c r="V20" s="33" t="s">
        <v>931</v>
      </c>
      <c r="W20" s="33" t="s">
        <v>23</v>
      </c>
      <c r="X20" s="53" t="s">
        <v>656</v>
      </c>
    </row>
    <row r="21" spans="1:24" ht="22.5" x14ac:dyDescent="0.2">
      <c r="A21" s="2" t="s">
        <v>942</v>
      </c>
      <c r="B21" s="138" t="s">
        <v>943</v>
      </c>
      <c r="C21" s="5" t="s">
        <v>73</v>
      </c>
      <c r="D21" s="44" t="s">
        <v>73</v>
      </c>
      <c r="E21" s="3" t="s">
        <v>86</v>
      </c>
      <c r="F21" s="5" t="s">
        <v>86</v>
      </c>
      <c r="G21" s="5"/>
      <c r="H21" s="5"/>
      <c r="I21" s="5"/>
      <c r="J21" s="5"/>
      <c r="K21" s="4" t="s">
        <v>86</v>
      </c>
      <c r="L21" s="5" t="s">
        <v>86</v>
      </c>
      <c r="M21" s="31">
        <v>125566.91</v>
      </c>
      <c r="N21" s="32">
        <v>1</v>
      </c>
      <c r="O21" s="47" t="s">
        <v>944</v>
      </c>
      <c r="P21" s="89">
        <v>125566.91</v>
      </c>
      <c r="Q21" s="4">
        <v>43381</v>
      </c>
      <c r="R21" s="90" t="s">
        <v>945</v>
      </c>
      <c r="S21" s="90"/>
      <c r="T21" s="90"/>
      <c r="U21" s="90"/>
      <c r="V21" s="33" t="s">
        <v>931</v>
      </c>
      <c r="W21" s="33" t="s">
        <v>22</v>
      </c>
      <c r="X21" s="53" t="s">
        <v>318</v>
      </c>
    </row>
    <row r="22" spans="1:24" ht="24" customHeight="1" x14ac:dyDescent="0.2">
      <c r="A22" s="2" t="s">
        <v>946</v>
      </c>
      <c r="B22" s="138" t="s">
        <v>947</v>
      </c>
      <c r="C22" s="5" t="s">
        <v>73</v>
      </c>
      <c r="D22" s="44" t="s">
        <v>73</v>
      </c>
      <c r="E22" s="3" t="s">
        <v>86</v>
      </c>
      <c r="F22" s="5" t="s">
        <v>86</v>
      </c>
      <c r="G22" s="5"/>
      <c r="H22" s="5"/>
      <c r="I22" s="5"/>
      <c r="J22" s="5"/>
      <c r="K22" s="4" t="s">
        <v>86</v>
      </c>
      <c r="L22" s="5" t="s">
        <v>86</v>
      </c>
      <c r="M22" s="31">
        <v>197264.64000000001</v>
      </c>
      <c r="N22" s="32">
        <v>1</v>
      </c>
      <c r="O22" s="47" t="s">
        <v>948</v>
      </c>
      <c r="P22" s="89">
        <v>197264.64000000001</v>
      </c>
      <c r="Q22" s="4">
        <v>43381</v>
      </c>
      <c r="R22" s="90" t="s">
        <v>196</v>
      </c>
      <c r="S22" s="90"/>
      <c r="T22" s="90"/>
      <c r="U22" s="90"/>
      <c r="V22" s="139" t="s">
        <v>931</v>
      </c>
      <c r="W22" s="139" t="s">
        <v>22</v>
      </c>
      <c r="X22" s="52" t="s">
        <v>949</v>
      </c>
    </row>
    <row r="23" spans="1:24" x14ac:dyDescent="0.2">
      <c r="A23" s="2" t="s">
        <v>950</v>
      </c>
      <c r="B23" s="81" t="s">
        <v>951</v>
      </c>
      <c r="C23" s="5" t="s">
        <v>73</v>
      </c>
      <c r="D23" s="44" t="s">
        <v>73</v>
      </c>
      <c r="E23" s="5"/>
      <c r="F23" s="49"/>
      <c r="G23" s="49"/>
      <c r="H23" s="49"/>
      <c r="I23" s="49"/>
      <c r="J23" s="5"/>
      <c r="K23" s="5"/>
      <c r="L23" s="5"/>
      <c r="M23" s="31"/>
      <c r="N23" s="32"/>
      <c r="O23" s="47"/>
      <c r="P23" s="95"/>
      <c r="Q23" s="4"/>
      <c r="R23" s="90"/>
      <c r="S23" s="90"/>
      <c r="T23" s="90"/>
      <c r="U23" s="90"/>
      <c r="V23" s="33"/>
      <c r="W23" s="33"/>
      <c r="X23" s="53"/>
    </row>
    <row r="24" spans="1:24" x14ac:dyDescent="0.2">
      <c r="A24" s="2" t="s">
        <v>952</v>
      </c>
      <c r="B24" s="81" t="s">
        <v>953</v>
      </c>
      <c r="C24" s="5" t="s">
        <v>73</v>
      </c>
      <c r="D24" s="44" t="s">
        <v>73</v>
      </c>
      <c r="E24" s="5" t="s">
        <v>954</v>
      </c>
      <c r="F24" s="49" t="s">
        <v>955</v>
      </c>
      <c r="G24" s="5"/>
      <c r="H24" s="5"/>
      <c r="I24" s="5"/>
      <c r="J24" s="5"/>
      <c r="K24" s="5">
        <v>43452</v>
      </c>
      <c r="L24" s="49" t="s">
        <v>956</v>
      </c>
      <c r="M24" s="31">
        <f>100000*N24</f>
        <v>300000</v>
      </c>
      <c r="N24" s="32">
        <v>3</v>
      </c>
      <c r="O24" s="47"/>
      <c r="P24" s="89"/>
      <c r="Q24" s="4"/>
      <c r="R24" s="90"/>
      <c r="S24" s="90"/>
      <c r="T24" s="90"/>
      <c r="U24" s="90"/>
      <c r="V24" s="33" t="s">
        <v>926</v>
      </c>
      <c r="W24" s="33" t="s">
        <v>23</v>
      </c>
      <c r="X24" s="53"/>
    </row>
    <row r="25" spans="1:24" ht="22.5" x14ac:dyDescent="0.2">
      <c r="A25" s="2" t="s">
        <v>957</v>
      </c>
      <c r="B25" s="81" t="s">
        <v>958</v>
      </c>
      <c r="C25" s="4" t="s">
        <v>73</v>
      </c>
      <c r="D25" s="44" t="s">
        <v>73</v>
      </c>
      <c r="E25" s="3" t="s">
        <v>86</v>
      </c>
      <c r="F25" s="5" t="s">
        <v>86</v>
      </c>
      <c r="G25" s="4"/>
      <c r="H25" s="4"/>
      <c r="I25" s="4"/>
      <c r="J25" s="4"/>
      <c r="K25" s="4" t="s">
        <v>86</v>
      </c>
      <c r="L25" s="5" t="s">
        <v>86</v>
      </c>
      <c r="M25" s="31">
        <v>76705</v>
      </c>
      <c r="N25" s="32">
        <v>1</v>
      </c>
      <c r="O25" s="47" t="s">
        <v>959</v>
      </c>
      <c r="P25" s="89">
        <v>76705</v>
      </c>
      <c r="Q25" s="4">
        <v>43395</v>
      </c>
      <c r="R25" s="90" t="s">
        <v>960</v>
      </c>
      <c r="S25" s="90"/>
      <c r="T25" s="90"/>
      <c r="U25" s="90"/>
      <c r="V25" s="33" t="s">
        <v>931</v>
      </c>
      <c r="W25" s="33" t="s">
        <v>22</v>
      </c>
      <c r="X25" s="53" t="s">
        <v>961</v>
      </c>
    </row>
    <row r="26" spans="1:24" ht="22.5" x14ac:dyDescent="0.2">
      <c r="A26" s="2" t="s">
        <v>962</v>
      </c>
      <c r="B26" s="138" t="s">
        <v>963</v>
      </c>
      <c r="C26" s="4" t="s">
        <v>73</v>
      </c>
      <c r="D26" s="44" t="s">
        <v>73</v>
      </c>
      <c r="E26" s="3" t="s">
        <v>86</v>
      </c>
      <c r="F26" s="5" t="s">
        <v>86</v>
      </c>
      <c r="G26" s="47"/>
      <c r="H26" s="4"/>
      <c r="I26" s="4"/>
      <c r="J26" s="4"/>
      <c r="K26" s="4" t="s">
        <v>86</v>
      </c>
      <c r="L26" s="5" t="s">
        <v>86</v>
      </c>
      <c r="M26" s="31">
        <v>55560</v>
      </c>
      <c r="N26" s="32">
        <v>1</v>
      </c>
      <c r="O26" s="47" t="s">
        <v>964</v>
      </c>
      <c r="P26" s="89">
        <v>55559.74</v>
      </c>
      <c r="Q26" s="4">
        <v>43395</v>
      </c>
      <c r="R26" s="90" t="s">
        <v>965</v>
      </c>
      <c r="S26" s="90"/>
      <c r="T26" s="90"/>
      <c r="U26" s="90"/>
      <c r="V26" s="33" t="s">
        <v>931</v>
      </c>
      <c r="W26" s="33" t="s">
        <v>22</v>
      </c>
      <c r="X26" s="53" t="s">
        <v>454</v>
      </c>
    </row>
    <row r="27" spans="1:24" ht="22.5" x14ac:dyDescent="0.2">
      <c r="A27" s="2" t="s">
        <v>966</v>
      </c>
      <c r="B27" s="138" t="s">
        <v>967</v>
      </c>
      <c r="C27" s="4" t="s">
        <v>73</v>
      </c>
      <c r="D27" s="44" t="s">
        <v>73</v>
      </c>
      <c r="E27" s="3" t="s">
        <v>86</v>
      </c>
      <c r="F27" s="5" t="s">
        <v>86</v>
      </c>
      <c r="G27" s="47"/>
      <c r="H27" s="4"/>
      <c r="I27" s="4"/>
      <c r="J27" s="4"/>
      <c r="K27" s="4" t="s">
        <v>86</v>
      </c>
      <c r="L27" s="5" t="s">
        <v>86</v>
      </c>
      <c r="M27" s="31">
        <v>83360</v>
      </c>
      <c r="N27" s="32">
        <v>1</v>
      </c>
      <c r="O27" s="47" t="s">
        <v>968</v>
      </c>
      <c r="P27" s="89">
        <v>83359.839999999997</v>
      </c>
      <c r="Q27" s="4">
        <v>43395</v>
      </c>
      <c r="R27" s="90" t="s">
        <v>969</v>
      </c>
      <c r="S27" s="90"/>
      <c r="T27" s="90"/>
      <c r="U27" s="90"/>
      <c r="V27" s="33" t="s">
        <v>931</v>
      </c>
      <c r="W27" s="33" t="s">
        <v>22</v>
      </c>
      <c r="X27" s="53" t="s">
        <v>970</v>
      </c>
    </row>
    <row r="28" spans="1:24" x14ac:dyDescent="0.2">
      <c r="A28" s="2" t="s">
        <v>971</v>
      </c>
      <c r="B28" s="93" t="s">
        <v>972</v>
      </c>
      <c r="C28" s="4" t="s">
        <v>73</v>
      </c>
      <c r="D28" s="44" t="s">
        <v>73</v>
      </c>
      <c r="E28" s="5" t="s">
        <v>973</v>
      </c>
      <c r="F28" s="49" t="s">
        <v>974</v>
      </c>
      <c r="G28" s="5"/>
      <c r="H28" s="5"/>
      <c r="I28" s="5"/>
      <c r="J28" s="5"/>
      <c r="K28" s="5">
        <v>43412</v>
      </c>
      <c r="L28" s="49" t="s">
        <v>975</v>
      </c>
      <c r="M28" s="31">
        <f>50000*N28</f>
        <v>50000</v>
      </c>
      <c r="N28" s="32">
        <v>1</v>
      </c>
      <c r="O28" s="47"/>
      <c r="P28" s="140"/>
      <c r="Q28" s="4"/>
      <c r="R28" s="90"/>
      <c r="S28" s="90"/>
      <c r="T28" s="90"/>
      <c r="U28" s="90"/>
      <c r="V28" s="33" t="s">
        <v>926</v>
      </c>
      <c r="W28" s="33" t="s">
        <v>23</v>
      </c>
      <c r="X28" s="52" t="s">
        <v>976</v>
      </c>
    </row>
    <row r="29" spans="1:24" ht="22.5" x14ac:dyDescent="0.2">
      <c r="A29" s="2" t="s">
        <v>977</v>
      </c>
      <c r="B29" s="93" t="s">
        <v>978</v>
      </c>
      <c r="C29" s="5" t="s">
        <v>73</v>
      </c>
      <c r="D29" s="44" t="s">
        <v>73</v>
      </c>
      <c r="E29" s="5" t="s">
        <v>86</v>
      </c>
      <c r="F29" s="5" t="s">
        <v>86</v>
      </c>
      <c r="G29" s="5"/>
      <c r="H29" s="5"/>
      <c r="I29" s="5"/>
      <c r="J29" s="5"/>
      <c r="K29" s="5" t="s">
        <v>86</v>
      </c>
      <c r="L29" s="5" t="s">
        <v>86</v>
      </c>
      <c r="M29" s="31">
        <f>P29</f>
        <v>504849.78</v>
      </c>
      <c r="N29" s="32">
        <v>1</v>
      </c>
      <c r="O29" s="47" t="s">
        <v>979</v>
      </c>
      <c r="P29" s="56">
        <v>504849.78</v>
      </c>
      <c r="Q29" s="4">
        <v>43395</v>
      </c>
      <c r="R29" s="90" t="s">
        <v>980</v>
      </c>
      <c r="S29" s="90"/>
      <c r="T29" s="90"/>
      <c r="U29" s="90"/>
      <c r="V29" s="33" t="s">
        <v>931</v>
      </c>
      <c r="W29" s="33" t="s">
        <v>22</v>
      </c>
      <c r="X29" s="53" t="s">
        <v>981</v>
      </c>
    </row>
    <row r="30" spans="1:24" ht="22.5" x14ac:dyDescent="0.2">
      <c r="A30" s="2" t="s">
        <v>982</v>
      </c>
      <c r="B30" s="93" t="s">
        <v>983</v>
      </c>
      <c r="C30" s="5" t="s">
        <v>73</v>
      </c>
      <c r="D30" s="44" t="s">
        <v>73</v>
      </c>
      <c r="E30" s="5" t="s">
        <v>86</v>
      </c>
      <c r="F30" s="5" t="s">
        <v>86</v>
      </c>
      <c r="G30" s="5"/>
      <c r="H30" s="5"/>
      <c r="I30" s="5"/>
      <c r="J30" s="5"/>
      <c r="K30" s="5" t="s">
        <v>86</v>
      </c>
      <c r="L30" s="5" t="s">
        <v>86</v>
      </c>
      <c r="M30" s="31">
        <f t="shared" ref="M30:M33" si="0">P30</f>
        <v>101116</v>
      </c>
      <c r="N30" s="32">
        <v>1</v>
      </c>
      <c r="O30" s="47" t="s">
        <v>984</v>
      </c>
      <c r="P30" s="89">
        <v>101116</v>
      </c>
      <c r="Q30" s="4">
        <v>43395</v>
      </c>
      <c r="R30" s="90" t="s">
        <v>699</v>
      </c>
      <c r="S30" s="90"/>
      <c r="T30" s="90"/>
      <c r="U30" s="90"/>
      <c r="V30" s="33" t="s">
        <v>931</v>
      </c>
      <c r="W30" s="33" t="s">
        <v>22</v>
      </c>
      <c r="X30" s="53" t="s">
        <v>981</v>
      </c>
    </row>
    <row r="31" spans="1:24" ht="22.5" x14ac:dyDescent="0.2">
      <c r="A31" s="2" t="s">
        <v>985</v>
      </c>
      <c r="B31" s="93" t="s">
        <v>986</v>
      </c>
      <c r="C31" s="4" t="s">
        <v>73</v>
      </c>
      <c r="D31" s="44" t="s">
        <v>73</v>
      </c>
      <c r="E31" s="3" t="s">
        <v>86</v>
      </c>
      <c r="F31" s="5" t="s">
        <v>86</v>
      </c>
      <c r="G31" s="4"/>
      <c r="H31" s="4"/>
      <c r="I31" s="4"/>
      <c r="J31" s="4"/>
      <c r="K31" s="4" t="s">
        <v>86</v>
      </c>
      <c r="L31" s="5" t="s">
        <v>86</v>
      </c>
      <c r="M31" s="31">
        <f t="shared" si="0"/>
        <v>155963</v>
      </c>
      <c r="N31" s="32">
        <v>1</v>
      </c>
      <c r="O31" s="47" t="s">
        <v>987</v>
      </c>
      <c r="P31" s="89">
        <v>155963</v>
      </c>
      <c r="Q31" s="4">
        <v>43395</v>
      </c>
      <c r="R31" s="90" t="s">
        <v>699</v>
      </c>
      <c r="S31" s="90"/>
      <c r="T31" s="90"/>
      <c r="U31" s="90"/>
      <c r="V31" s="33" t="s">
        <v>931</v>
      </c>
      <c r="W31" s="33" t="s">
        <v>22</v>
      </c>
      <c r="X31" s="53" t="s">
        <v>981</v>
      </c>
    </row>
    <row r="32" spans="1:24" ht="22.5" x14ac:dyDescent="0.2">
      <c r="A32" s="2" t="s">
        <v>988</v>
      </c>
      <c r="B32" s="93" t="s">
        <v>989</v>
      </c>
      <c r="C32" s="5" t="s">
        <v>73</v>
      </c>
      <c r="D32" s="44" t="s">
        <v>73</v>
      </c>
      <c r="E32" s="5" t="s">
        <v>86</v>
      </c>
      <c r="F32" s="5" t="s">
        <v>86</v>
      </c>
      <c r="G32" s="5"/>
      <c r="H32" s="5"/>
      <c r="I32" s="5"/>
      <c r="J32" s="5"/>
      <c r="K32" s="5" t="s">
        <v>86</v>
      </c>
      <c r="L32" s="5" t="s">
        <v>86</v>
      </c>
      <c r="M32" s="31">
        <f t="shared" si="0"/>
        <v>141665</v>
      </c>
      <c r="N32" s="32">
        <v>1</v>
      </c>
      <c r="O32" s="47" t="s">
        <v>990</v>
      </c>
      <c r="P32" s="89">
        <v>141665</v>
      </c>
      <c r="Q32" s="4">
        <v>43395</v>
      </c>
      <c r="R32" s="90" t="s">
        <v>991</v>
      </c>
      <c r="S32" s="90"/>
      <c r="T32" s="90"/>
      <c r="U32" s="90"/>
      <c r="V32" s="33" t="s">
        <v>931</v>
      </c>
      <c r="W32" s="33" t="s">
        <v>24</v>
      </c>
      <c r="X32" s="53" t="s">
        <v>992</v>
      </c>
    </row>
    <row r="33" spans="1:24" ht="22.5" x14ac:dyDescent="0.2">
      <c r="A33" s="2" t="s">
        <v>993</v>
      </c>
      <c r="B33" s="93" t="s">
        <v>994</v>
      </c>
      <c r="C33" s="5" t="s">
        <v>73</v>
      </c>
      <c r="D33" s="44" t="s">
        <v>73</v>
      </c>
      <c r="E33" s="5" t="s">
        <v>86</v>
      </c>
      <c r="F33" s="5" t="s">
        <v>86</v>
      </c>
      <c r="G33" s="5"/>
      <c r="H33" s="5"/>
      <c r="I33" s="5"/>
      <c r="J33" s="5"/>
      <c r="K33" s="5" t="s">
        <v>86</v>
      </c>
      <c r="L33" s="5" t="s">
        <v>86</v>
      </c>
      <c r="M33" s="31">
        <f t="shared" si="0"/>
        <v>98811.9</v>
      </c>
      <c r="N33" s="32">
        <v>1</v>
      </c>
      <c r="O33" s="47" t="s">
        <v>995</v>
      </c>
      <c r="P33" s="89">
        <v>98811.9</v>
      </c>
      <c r="Q33" s="4">
        <v>43395</v>
      </c>
      <c r="R33" s="90" t="s">
        <v>393</v>
      </c>
      <c r="S33" s="90"/>
      <c r="T33" s="90"/>
      <c r="U33" s="90"/>
      <c r="V33" s="33" t="s">
        <v>931</v>
      </c>
      <c r="W33" s="33" t="s">
        <v>24</v>
      </c>
      <c r="X33" s="53" t="s">
        <v>996</v>
      </c>
    </row>
    <row r="34" spans="1:24" ht="22.5" x14ac:dyDescent="0.2">
      <c r="A34" s="2" t="s">
        <v>997</v>
      </c>
      <c r="B34" s="93" t="s">
        <v>998</v>
      </c>
      <c r="C34" s="5" t="s">
        <v>73</v>
      </c>
      <c r="D34" s="44" t="s">
        <v>73</v>
      </c>
      <c r="E34" s="5" t="s">
        <v>86</v>
      </c>
      <c r="F34" s="5" t="s">
        <v>86</v>
      </c>
      <c r="G34" s="49"/>
      <c r="H34" s="5"/>
      <c r="I34" s="5"/>
      <c r="J34" s="5"/>
      <c r="K34" s="5" t="s">
        <v>86</v>
      </c>
      <c r="L34" s="5" t="s">
        <v>86</v>
      </c>
      <c r="M34" s="31">
        <f>80000</f>
        <v>80000</v>
      </c>
      <c r="N34" s="32">
        <v>2</v>
      </c>
      <c r="O34" s="177" t="s">
        <v>999</v>
      </c>
      <c r="P34" s="89">
        <f>50000+30000</f>
        <v>80000</v>
      </c>
      <c r="Q34" s="94">
        <v>43395</v>
      </c>
      <c r="R34" s="90" t="s">
        <v>1000</v>
      </c>
      <c r="S34" s="90" t="s">
        <v>1001</v>
      </c>
      <c r="T34" s="90"/>
      <c r="U34" s="90"/>
      <c r="V34" s="33" t="s">
        <v>931</v>
      </c>
      <c r="W34" s="33" t="s">
        <v>22</v>
      </c>
      <c r="X34" s="53" t="s">
        <v>1002</v>
      </c>
    </row>
    <row r="35" spans="1:24" x14ac:dyDescent="0.2">
      <c r="A35" s="2" t="s">
        <v>1003</v>
      </c>
      <c r="B35" s="138" t="s">
        <v>1004</v>
      </c>
      <c r="C35" s="4" t="s">
        <v>73</v>
      </c>
      <c r="D35" s="44" t="s">
        <v>73</v>
      </c>
      <c r="E35" s="3" t="s">
        <v>86</v>
      </c>
      <c r="F35" s="5" t="s">
        <v>86</v>
      </c>
      <c r="G35" s="47"/>
      <c r="H35" s="4"/>
      <c r="I35" s="4"/>
      <c r="J35" s="4"/>
      <c r="K35" s="4" t="s">
        <v>86</v>
      </c>
      <c r="L35" s="5" t="s">
        <v>86</v>
      </c>
      <c r="M35" s="31">
        <f>+P35</f>
        <v>63855</v>
      </c>
      <c r="N35" s="32">
        <v>1</v>
      </c>
      <c r="O35" s="177" t="s">
        <v>1005</v>
      </c>
      <c r="P35" s="89">
        <v>63855</v>
      </c>
      <c r="Q35" s="94">
        <v>43395</v>
      </c>
      <c r="R35" s="90" t="s">
        <v>285</v>
      </c>
      <c r="S35" s="90"/>
      <c r="T35" s="90"/>
      <c r="U35" s="90"/>
      <c r="V35" s="33" t="s">
        <v>931</v>
      </c>
      <c r="W35" s="33" t="s">
        <v>22</v>
      </c>
      <c r="X35" s="53" t="s">
        <v>286</v>
      </c>
    </row>
    <row r="36" spans="1:24" ht="22.5" x14ac:dyDescent="0.2">
      <c r="A36" s="2" t="s">
        <v>1006</v>
      </c>
      <c r="B36" s="138" t="s">
        <v>1007</v>
      </c>
      <c r="C36" s="4" t="s">
        <v>73</v>
      </c>
      <c r="D36" s="44" t="s">
        <v>73</v>
      </c>
      <c r="E36" s="3" t="s">
        <v>86</v>
      </c>
      <c r="F36" s="5" t="s">
        <v>86</v>
      </c>
      <c r="G36" s="47"/>
      <c r="H36" s="4"/>
      <c r="I36" s="4"/>
      <c r="J36" s="4"/>
      <c r="K36" s="4" t="s">
        <v>86</v>
      </c>
      <c r="L36" s="5" t="s">
        <v>86</v>
      </c>
      <c r="M36" s="33">
        <f>317377+180024.5+245150</f>
        <v>742551.5</v>
      </c>
      <c r="N36" s="32">
        <v>3</v>
      </c>
      <c r="O36" s="177" t="s">
        <v>1008</v>
      </c>
      <c r="P36" s="89">
        <v>170713.63</v>
      </c>
      <c r="Q36" s="94">
        <v>43696</v>
      </c>
      <c r="R36" s="90" t="s">
        <v>1009</v>
      </c>
      <c r="S36" s="90"/>
      <c r="T36" s="90"/>
      <c r="U36" s="90"/>
      <c r="V36" s="33" t="s">
        <v>931</v>
      </c>
      <c r="W36" s="33" t="s">
        <v>24</v>
      </c>
      <c r="X36" s="78" t="s">
        <v>1010</v>
      </c>
    </row>
    <row r="37" spans="1:24" ht="22.5" x14ac:dyDescent="0.2">
      <c r="A37" s="2" t="s">
        <v>1011</v>
      </c>
      <c r="B37" s="138" t="s">
        <v>1012</v>
      </c>
      <c r="C37" s="4" t="s">
        <v>73</v>
      </c>
      <c r="D37" s="44" t="s">
        <v>73</v>
      </c>
      <c r="E37" s="3" t="s">
        <v>86</v>
      </c>
      <c r="F37" s="3" t="s">
        <v>86</v>
      </c>
      <c r="G37" s="5"/>
      <c r="H37" s="5"/>
      <c r="I37" s="5"/>
      <c r="J37" s="5"/>
      <c r="K37" s="4" t="s">
        <v>86</v>
      </c>
      <c r="L37" s="5" t="s">
        <v>86</v>
      </c>
      <c r="M37" s="31">
        <f t="shared" ref="M37:M41" si="1">+P37</f>
        <v>637218.09</v>
      </c>
      <c r="N37" s="32">
        <v>1</v>
      </c>
      <c r="O37" s="177" t="s">
        <v>1013</v>
      </c>
      <c r="P37" s="89">
        <v>637218.09</v>
      </c>
      <c r="Q37" s="94">
        <v>43409</v>
      </c>
      <c r="R37" s="90" t="s">
        <v>1014</v>
      </c>
      <c r="S37" s="90"/>
      <c r="T37" s="90"/>
      <c r="U37" s="90"/>
      <c r="V37" s="33" t="s">
        <v>931</v>
      </c>
      <c r="W37" s="33" t="s">
        <v>22</v>
      </c>
      <c r="X37" s="53" t="s">
        <v>1015</v>
      </c>
    </row>
    <row r="38" spans="1:24" x14ac:dyDescent="0.2">
      <c r="A38" s="2" t="s">
        <v>1016</v>
      </c>
      <c r="B38" s="178" t="s">
        <v>1017</v>
      </c>
      <c r="C38" s="4" t="s">
        <v>73</v>
      </c>
      <c r="D38" s="44" t="s">
        <v>73</v>
      </c>
      <c r="E38" s="3" t="s">
        <v>86</v>
      </c>
      <c r="F38" s="5" t="s">
        <v>86</v>
      </c>
      <c r="G38" s="5"/>
      <c r="H38" s="5"/>
      <c r="I38" s="5"/>
      <c r="J38" s="5"/>
      <c r="K38" s="4" t="s">
        <v>86</v>
      </c>
      <c r="L38" s="5" t="s">
        <v>86</v>
      </c>
      <c r="M38" s="31">
        <f t="shared" si="1"/>
        <v>367564.79999999999</v>
      </c>
      <c r="N38" s="32">
        <v>1</v>
      </c>
      <c r="O38" s="177" t="s">
        <v>1018</v>
      </c>
      <c r="P38" s="89">
        <v>367564.79999999999</v>
      </c>
      <c r="Q38" s="94">
        <v>43409</v>
      </c>
      <c r="R38" s="90" t="s">
        <v>370</v>
      </c>
      <c r="S38" s="90"/>
      <c r="T38" s="90"/>
      <c r="U38" s="90"/>
      <c r="V38" s="33" t="s">
        <v>931</v>
      </c>
      <c r="W38" s="33" t="s">
        <v>22</v>
      </c>
      <c r="X38" s="53" t="s">
        <v>656</v>
      </c>
    </row>
    <row r="39" spans="1:24" ht="22.5" x14ac:dyDescent="0.2">
      <c r="A39" s="2" t="s">
        <v>1019</v>
      </c>
      <c r="B39" s="138" t="s">
        <v>1020</v>
      </c>
      <c r="C39" s="4" t="s">
        <v>73</v>
      </c>
      <c r="D39" s="44" t="s">
        <v>73</v>
      </c>
      <c r="E39" s="3" t="s">
        <v>86</v>
      </c>
      <c r="F39" s="5" t="s">
        <v>86</v>
      </c>
      <c r="G39" s="5"/>
      <c r="H39" s="5"/>
      <c r="I39" s="5"/>
      <c r="J39" s="5"/>
      <c r="K39" s="4" t="s">
        <v>86</v>
      </c>
      <c r="L39" s="5" t="s">
        <v>86</v>
      </c>
      <c r="M39" s="31">
        <f t="shared" si="1"/>
        <v>237516.43</v>
      </c>
      <c r="N39" s="32">
        <v>1</v>
      </c>
      <c r="O39" s="177" t="s">
        <v>1021</v>
      </c>
      <c r="P39" s="89">
        <v>237516.43</v>
      </c>
      <c r="Q39" s="94">
        <v>43409</v>
      </c>
      <c r="R39" s="90" t="s">
        <v>1022</v>
      </c>
      <c r="S39" s="90"/>
      <c r="T39" s="90"/>
      <c r="U39" s="90"/>
      <c r="V39" s="33" t="s">
        <v>931</v>
      </c>
      <c r="W39" s="33" t="s">
        <v>23</v>
      </c>
      <c r="X39" s="53" t="s">
        <v>981</v>
      </c>
    </row>
    <row r="40" spans="1:24" ht="22.5" x14ac:dyDescent="0.2">
      <c r="A40" s="2" t="s">
        <v>1023</v>
      </c>
      <c r="B40" s="138" t="s">
        <v>1024</v>
      </c>
      <c r="C40" s="4" t="s">
        <v>73</v>
      </c>
      <c r="D40" s="44" t="s">
        <v>73</v>
      </c>
      <c r="E40" s="3" t="s">
        <v>86</v>
      </c>
      <c r="F40" s="5" t="s">
        <v>86</v>
      </c>
      <c r="G40" s="5"/>
      <c r="H40" s="5"/>
      <c r="I40" s="5"/>
      <c r="J40" s="5"/>
      <c r="K40" s="4" t="s">
        <v>86</v>
      </c>
      <c r="L40" s="5" t="s">
        <v>86</v>
      </c>
      <c r="M40" s="31">
        <f t="shared" si="1"/>
        <v>1000000</v>
      </c>
      <c r="N40" s="32">
        <v>2</v>
      </c>
      <c r="O40" s="177" t="s">
        <v>1025</v>
      </c>
      <c r="P40" s="89">
        <v>1000000</v>
      </c>
      <c r="Q40" s="94">
        <v>43409</v>
      </c>
      <c r="R40" s="90" t="s">
        <v>1026</v>
      </c>
      <c r="S40" s="90" t="s">
        <v>1027</v>
      </c>
      <c r="T40" s="90"/>
      <c r="U40" s="90"/>
      <c r="V40" s="33" t="s">
        <v>931</v>
      </c>
      <c r="W40" s="33" t="s">
        <v>23</v>
      </c>
      <c r="X40" s="53" t="s">
        <v>1028</v>
      </c>
    </row>
    <row r="41" spans="1:24" ht="22.5" x14ac:dyDescent="0.2">
      <c r="A41" s="2" t="s">
        <v>1029</v>
      </c>
      <c r="B41" s="138" t="s">
        <v>1030</v>
      </c>
      <c r="C41" s="5" t="s">
        <v>73</v>
      </c>
      <c r="D41" s="44" t="s">
        <v>73</v>
      </c>
      <c r="E41" s="3" t="s">
        <v>86</v>
      </c>
      <c r="F41" s="5" t="s">
        <v>86</v>
      </c>
      <c r="G41" s="5"/>
      <c r="H41" s="5"/>
      <c r="I41" s="5"/>
      <c r="J41" s="5"/>
      <c r="K41" s="4" t="s">
        <v>86</v>
      </c>
      <c r="L41" s="5" t="s">
        <v>86</v>
      </c>
      <c r="M41" s="31">
        <f t="shared" si="1"/>
        <v>201082.6</v>
      </c>
      <c r="N41" s="32">
        <v>1</v>
      </c>
      <c r="O41" s="177" t="s">
        <v>1031</v>
      </c>
      <c r="P41" s="89">
        <v>201082.6</v>
      </c>
      <c r="Q41" s="94">
        <v>43409</v>
      </c>
      <c r="R41" s="90" t="s">
        <v>196</v>
      </c>
      <c r="S41" s="90"/>
      <c r="T41" s="90"/>
      <c r="U41" s="90"/>
      <c r="V41" s="33" t="s">
        <v>931</v>
      </c>
      <c r="W41" s="33" t="s">
        <v>22</v>
      </c>
      <c r="X41" s="53" t="s">
        <v>1032</v>
      </c>
    </row>
    <row r="42" spans="1:24" ht="22.5" x14ac:dyDescent="0.2">
      <c r="A42" s="2" t="s">
        <v>1033</v>
      </c>
      <c r="B42" s="138" t="s">
        <v>1034</v>
      </c>
      <c r="C42" s="5">
        <v>43445</v>
      </c>
      <c r="D42" s="179" t="s">
        <v>1035</v>
      </c>
      <c r="E42" s="5" t="s">
        <v>1036</v>
      </c>
      <c r="F42" s="49" t="s">
        <v>1037</v>
      </c>
      <c r="G42" s="49"/>
      <c r="H42" s="5"/>
      <c r="I42" s="5"/>
      <c r="J42" s="5"/>
      <c r="K42" s="5">
        <v>43468</v>
      </c>
      <c r="L42" s="49" t="s">
        <v>1038</v>
      </c>
      <c r="M42" s="33">
        <f>89801.58+59400+58000+94500+81383</f>
        <v>383084.58</v>
      </c>
      <c r="N42" s="32">
        <v>5</v>
      </c>
      <c r="O42" s="177" t="s">
        <v>1039</v>
      </c>
      <c r="P42" s="89">
        <v>58000</v>
      </c>
      <c r="Q42" s="94">
        <v>43479</v>
      </c>
      <c r="R42" s="90" t="s">
        <v>1040</v>
      </c>
      <c r="S42" s="90"/>
      <c r="T42" s="90"/>
      <c r="U42" s="90"/>
      <c r="V42" s="33" t="s">
        <v>926</v>
      </c>
      <c r="W42" s="33" t="s">
        <v>24</v>
      </c>
      <c r="X42" s="53"/>
    </row>
    <row r="43" spans="1:24" ht="22.5" x14ac:dyDescent="0.2">
      <c r="A43" s="2" t="s">
        <v>1041</v>
      </c>
      <c r="B43" s="81" t="s">
        <v>1042</v>
      </c>
      <c r="C43" s="5" t="s">
        <v>73</v>
      </c>
      <c r="D43" s="44" t="s">
        <v>73</v>
      </c>
      <c r="E43" s="5" t="s">
        <v>86</v>
      </c>
      <c r="F43" s="5" t="s">
        <v>86</v>
      </c>
      <c r="G43" s="5"/>
      <c r="H43" s="5"/>
      <c r="I43" s="5"/>
      <c r="J43" s="5"/>
      <c r="K43" s="5" t="s">
        <v>86</v>
      </c>
      <c r="L43" s="5" t="s">
        <v>86</v>
      </c>
      <c r="M43" s="33">
        <v>188959.96</v>
      </c>
      <c r="N43" s="32">
        <v>1</v>
      </c>
      <c r="O43" s="177" t="s">
        <v>1043</v>
      </c>
      <c r="P43" s="89">
        <v>188959.96</v>
      </c>
      <c r="Q43" s="94">
        <v>43444</v>
      </c>
      <c r="R43" s="90" t="s">
        <v>960</v>
      </c>
      <c r="S43" s="90"/>
      <c r="T43" s="90"/>
      <c r="U43" s="90"/>
      <c r="V43" s="33" t="s">
        <v>931</v>
      </c>
      <c r="W43" s="33" t="s">
        <v>22</v>
      </c>
      <c r="X43" s="53" t="s">
        <v>409</v>
      </c>
    </row>
    <row r="44" spans="1:24" x14ac:dyDescent="0.2">
      <c r="A44" s="2" t="s">
        <v>1044</v>
      </c>
      <c r="B44" s="81" t="s">
        <v>1045</v>
      </c>
      <c r="C44" s="3" t="s">
        <v>73</v>
      </c>
      <c r="D44" s="44" t="s">
        <v>73</v>
      </c>
      <c r="E44" s="5" t="s">
        <v>86</v>
      </c>
      <c r="F44" s="5" t="s">
        <v>86</v>
      </c>
      <c r="G44" s="3"/>
      <c r="H44" s="3"/>
      <c r="I44" s="3"/>
      <c r="J44" s="3"/>
      <c r="K44" s="4" t="s">
        <v>86</v>
      </c>
      <c r="L44" s="5" t="s">
        <v>86</v>
      </c>
      <c r="M44" s="33">
        <v>59979.01</v>
      </c>
      <c r="N44" s="32">
        <v>1</v>
      </c>
      <c r="O44" s="177" t="s">
        <v>1046</v>
      </c>
      <c r="P44" s="89">
        <v>59979.01</v>
      </c>
      <c r="Q44" s="94">
        <v>43444</v>
      </c>
      <c r="R44" s="90" t="s">
        <v>383</v>
      </c>
      <c r="S44" s="90"/>
      <c r="T44" s="90"/>
      <c r="U44" s="90"/>
      <c r="V44" s="33" t="s">
        <v>931</v>
      </c>
      <c r="W44" s="33" t="s">
        <v>24</v>
      </c>
      <c r="X44" s="53" t="s">
        <v>1047</v>
      </c>
    </row>
    <row r="45" spans="1:24" x14ac:dyDescent="0.2">
      <c r="A45" s="2" t="s">
        <v>1048</v>
      </c>
      <c r="B45" s="93" t="s">
        <v>1049</v>
      </c>
      <c r="C45" s="3" t="s">
        <v>73</v>
      </c>
      <c r="D45" s="44" t="s">
        <v>73</v>
      </c>
      <c r="E45" s="5" t="s">
        <v>1050</v>
      </c>
      <c r="F45" s="49" t="s">
        <v>1051</v>
      </c>
      <c r="G45" s="5"/>
      <c r="H45" s="5"/>
      <c r="I45" s="5"/>
      <c r="J45" s="5"/>
      <c r="K45" s="5">
        <v>43453</v>
      </c>
      <c r="L45" s="49" t="s">
        <v>1052</v>
      </c>
      <c r="M45" s="31">
        <f>50000*N45</f>
        <v>150000</v>
      </c>
      <c r="N45" s="32">
        <v>3</v>
      </c>
      <c r="O45" s="177" t="s">
        <v>1053</v>
      </c>
      <c r="P45" s="95">
        <v>50000</v>
      </c>
      <c r="Q45" s="94">
        <v>43479</v>
      </c>
      <c r="R45" s="90" t="s">
        <v>1054</v>
      </c>
      <c r="S45" s="90"/>
      <c r="T45" s="90"/>
      <c r="U45" s="90"/>
      <c r="V45" s="33" t="s">
        <v>926</v>
      </c>
      <c r="W45" s="33" t="s">
        <v>23</v>
      </c>
      <c r="X45" s="53" t="s">
        <v>1055</v>
      </c>
    </row>
    <row r="46" spans="1:24" ht="22.5" x14ac:dyDescent="0.2">
      <c r="A46" s="2" t="s">
        <v>1056</v>
      </c>
      <c r="B46" s="138" t="s">
        <v>1057</v>
      </c>
      <c r="C46" s="5">
        <v>43820</v>
      </c>
      <c r="D46" s="179" t="s">
        <v>1058</v>
      </c>
      <c r="E46" s="5" t="s">
        <v>1059</v>
      </c>
      <c r="F46" s="49" t="s">
        <v>1060</v>
      </c>
      <c r="G46" s="5"/>
      <c r="H46" s="5"/>
      <c r="I46" s="5"/>
      <c r="J46" s="5"/>
      <c r="K46" s="5">
        <v>43480</v>
      </c>
      <c r="L46" s="180" t="s">
        <v>1061</v>
      </c>
      <c r="M46" s="31">
        <f>605575+498910+406957.5+356996</f>
        <v>1868438.5</v>
      </c>
      <c r="N46" s="32">
        <v>4</v>
      </c>
      <c r="O46" s="47" t="s">
        <v>1062</v>
      </c>
      <c r="P46" s="89">
        <v>356996</v>
      </c>
      <c r="Q46" s="4">
        <v>43507</v>
      </c>
      <c r="R46" s="90" t="s">
        <v>1063</v>
      </c>
      <c r="S46" s="90"/>
      <c r="T46" s="90"/>
      <c r="U46" s="90"/>
      <c r="V46" s="33" t="s">
        <v>926</v>
      </c>
      <c r="W46" s="33" t="s">
        <v>24</v>
      </c>
      <c r="X46" s="53"/>
    </row>
    <row r="47" spans="1:24" ht="22.5" x14ac:dyDescent="0.2">
      <c r="A47" s="2" t="s">
        <v>1064</v>
      </c>
      <c r="B47" s="81" t="s">
        <v>1065</v>
      </c>
      <c r="C47" s="5" t="s">
        <v>73</v>
      </c>
      <c r="D47" s="44" t="s">
        <v>73</v>
      </c>
      <c r="E47" s="5" t="s">
        <v>86</v>
      </c>
      <c r="F47" s="5" t="s">
        <v>86</v>
      </c>
      <c r="G47" s="5"/>
      <c r="H47" s="5"/>
      <c r="I47" s="5"/>
      <c r="J47" s="5"/>
      <c r="K47" s="4" t="s">
        <v>86</v>
      </c>
      <c r="L47" s="5" t="s">
        <v>86</v>
      </c>
      <c r="M47" s="33">
        <v>717150</v>
      </c>
      <c r="N47" s="32">
        <v>1</v>
      </c>
      <c r="O47" s="47" t="s">
        <v>1066</v>
      </c>
      <c r="P47" s="89">
        <v>717150</v>
      </c>
      <c r="Q47" s="4">
        <v>43444</v>
      </c>
      <c r="R47" s="90" t="s">
        <v>1067</v>
      </c>
      <c r="S47" s="90"/>
      <c r="T47" s="90"/>
      <c r="U47" s="90"/>
      <c r="V47" s="33" t="s">
        <v>931</v>
      </c>
      <c r="W47" s="33" t="s">
        <v>22</v>
      </c>
      <c r="X47" s="53" t="s">
        <v>1068</v>
      </c>
    </row>
    <row r="48" spans="1:24" ht="22.5" x14ac:dyDescent="0.2">
      <c r="A48" s="2" t="s">
        <v>1069</v>
      </c>
      <c r="B48" s="81" t="s">
        <v>1070</v>
      </c>
      <c r="C48" s="5" t="s">
        <v>73</v>
      </c>
      <c r="D48" s="44" t="s">
        <v>73</v>
      </c>
      <c r="E48" s="5" t="s">
        <v>86</v>
      </c>
      <c r="F48" s="5" t="s">
        <v>86</v>
      </c>
      <c r="G48" s="3"/>
      <c r="H48" s="3"/>
      <c r="I48" s="3"/>
      <c r="J48" s="3"/>
      <c r="K48" s="4" t="s">
        <v>86</v>
      </c>
      <c r="L48" s="5" t="s">
        <v>86</v>
      </c>
      <c r="M48" s="33">
        <v>299596.65000000002</v>
      </c>
      <c r="N48" s="32">
        <v>1</v>
      </c>
      <c r="O48" s="47" t="s">
        <v>1071</v>
      </c>
      <c r="P48" s="89">
        <v>299596.65000000002</v>
      </c>
      <c r="Q48" s="4">
        <v>43444</v>
      </c>
      <c r="R48" s="91" t="s">
        <v>1072</v>
      </c>
      <c r="S48" s="91"/>
      <c r="T48" s="91"/>
      <c r="U48" s="91"/>
      <c r="V48" s="33" t="s">
        <v>931</v>
      </c>
      <c r="W48" s="33" t="s">
        <v>22</v>
      </c>
      <c r="X48" s="53" t="s">
        <v>1073</v>
      </c>
    </row>
    <row r="49" spans="1:24" ht="22.5" x14ac:dyDescent="0.2">
      <c r="A49" s="2" t="s">
        <v>1074</v>
      </c>
      <c r="B49" s="138" t="s">
        <v>1075</v>
      </c>
      <c r="C49" s="3" t="s">
        <v>73</v>
      </c>
      <c r="D49" s="2" t="s">
        <v>73</v>
      </c>
      <c r="E49" s="3" t="s">
        <v>86</v>
      </c>
      <c r="F49" s="5" t="s">
        <v>86</v>
      </c>
      <c r="G49" s="3"/>
      <c r="H49" s="3"/>
      <c r="I49" s="3"/>
      <c r="J49" s="3"/>
      <c r="K49" s="5" t="s">
        <v>86</v>
      </c>
      <c r="L49" s="5" t="s">
        <v>86</v>
      </c>
      <c r="M49" s="31">
        <v>805991.19</v>
      </c>
      <c r="N49" s="32">
        <v>1</v>
      </c>
      <c r="O49" s="47" t="s">
        <v>1076</v>
      </c>
      <c r="P49" s="89">
        <v>805991.19</v>
      </c>
      <c r="Q49" s="4">
        <v>43479</v>
      </c>
      <c r="R49" s="90" t="s">
        <v>370</v>
      </c>
      <c r="S49" s="90"/>
      <c r="T49" s="90"/>
      <c r="U49" s="90"/>
      <c r="V49" s="33" t="s">
        <v>931</v>
      </c>
      <c r="W49" s="33" t="s">
        <v>22</v>
      </c>
      <c r="X49" s="53" t="s">
        <v>1073</v>
      </c>
    </row>
    <row r="50" spans="1:24" ht="22.5" x14ac:dyDescent="0.2">
      <c r="A50" s="2" t="s">
        <v>1077</v>
      </c>
      <c r="B50" s="81" t="s">
        <v>1078</v>
      </c>
      <c r="C50" s="5" t="s">
        <v>73</v>
      </c>
      <c r="D50" s="44" t="s">
        <v>73</v>
      </c>
      <c r="E50" s="3" t="s">
        <v>86</v>
      </c>
      <c r="F50" s="5" t="s">
        <v>86</v>
      </c>
      <c r="G50" s="4"/>
      <c r="H50" s="4"/>
      <c r="I50" s="4"/>
      <c r="J50" s="4"/>
      <c r="K50" s="4" t="s">
        <v>86</v>
      </c>
      <c r="L50" s="5" t="s">
        <v>86</v>
      </c>
      <c r="M50" s="31">
        <v>71252.78</v>
      </c>
      <c r="N50" s="32">
        <v>1</v>
      </c>
      <c r="O50" s="47" t="s">
        <v>1079</v>
      </c>
      <c r="P50" s="89">
        <v>71252.78</v>
      </c>
      <c r="Q50" s="4">
        <v>43444</v>
      </c>
      <c r="R50" s="90" t="s">
        <v>960</v>
      </c>
      <c r="S50" s="90"/>
      <c r="T50" s="90"/>
      <c r="U50" s="90"/>
      <c r="V50" s="33" t="s">
        <v>931</v>
      </c>
      <c r="W50" s="33" t="s">
        <v>22</v>
      </c>
      <c r="X50" s="53" t="s">
        <v>409</v>
      </c>
    </row>
    <row r="51" spans="1:24" ht="22.5" x14ac:dyDescent="0.2">
      <c r="A51" s="2" t="s">
        <v>1080</v>
      </c>
      <c r="B51" s="81" t="s">
        <v>1081</v>
      </c>
      <c r="C51" s="3" t="s">
        <v>73</v>
      </c>
      <c r="D51" s="2" t="s">
        <v>73</v>
      </c>
      <c r="E51" s="3" t="s">
        <v>86</v>
      </c>
      <c r="F51" s="5" t="s">
        <v>86</v>
      </c>
      <c r="G51" s="47"/>
      <c r="H51" s="4"/>
      <c r="I51" s="4"/>
      <c r="J51" s="4"/>
      <c r="K51" s="5" t="s">
        <v>86</v>
      </c>
      <c r="L51" s="5" t="s">
        <v>86</v>
      </c>
      <c r="M51" s="31">
        <v>100000</v>
      </c>
      <c r="N51" s="32">
        <v>1</v>
      </c>
      <c r="O51" s="47" t="s">
        <v>1082</v>
      </c>
      <c r="P51" s="89">
        <v>100000</v>
      </c>
      <c r="Q51" s="4">
        <v>43444</v>
      </c>
      <c r="R51" s="90" t="s">
        <v>1083</v>
      </c>
      <c r="S51" s="90"/>
      <c r="T51" s="90"/>
      <c r="U51" s="90"/>
      <c r="V51" s="33" t="s">
        <v>931</v>
      </c>
      <c r="W51" s="33" t="s">
        <v>22</v>
      </c>
      <c r="X51" s="53" t="s">
        <v>1084</v>
      </c>
    </row>
    <row r="52" spans="1:24" x14ac:dyDescent="0.2">
      <c r="A52" s="2" t="s">
        <v>1085</v>
      </c>
      <c r="B52" s="81" t="s">
        <v>1086</v>
      </c>
      <c r="C52" s="3" t="s">
        <v>73</v>
      </c>
      <c r="D52" s="2" t="s">
        <v>73</v>
      </c>
      <c r="E52" s="3" t="s">
        <v>1087</v>
      </c>
      <c r="F52" s="49" t="s">
        <v>1088</v>
      </c>
      <c r="G52" s="47"/>
      <c r="H52" s="4"/>
      <c r="I52" s="4"/>
      <c r="J52" s="4"/>
      <c r="K52" s="5">
        <v>43502</v>
      </c>
      <c r="L52" s="49" t="s">
        <v>1089</v>
      </c>
      <c r="M52" s="31">
        <f>308125+258751.5</f>
        <v>566876.5</v>
      </c>
      <c r="N52" s="32">
        <v>2</v>
      </c>
      <c r="O52" s="47" t="s">
        <v>1090</v>
      </c>
      <c r="P52" s="89">
        <v>260000</v>
      </c>
      <c r="Q52" s="4">
        <v>43521</v>
      </c>
      <c r="R52" s="90" t="s">
        <v>1091</v>
      </c>
      <c r="S52" s="90" t="s">
        <v>1092</v>
      </c>
      <c r="T52" s="90"/>
      <c r="U52" s="90"/>
      <c r="V52" s="33" t="s">
        <v>926</v>
      </c>
      <c r="W52" s="33" t="s">
        <v>23</v>
      </c>
      <c r="X52" s="53"/>
    </row>
    <row r="53" spans="1:24" x14ac:dyDescent="0.2">
      <c r="A53" s="2" t="s">
        <v>1093</v>
      </c>
      <c r="B53" s="81" t="s">
        <v>261</v>
      </c>
      <c r="C53" s="3" t="s">
        <v>73</v>
      </c>
      <c r="D53" s="2" t="s">
        <v>73</v>
      </c>
      <c r="E53" s="3" t="s">
        <v>1036</v>
      </c>
      <c r="F53" s="49" t="s">
        <v>1094</v>
      </c>
      <c r="G53" s="3"/>
      <c r="H53" s="3"/>
      <c r="I53" s="3"/>
      <c r="J53" s="3"/>
      <c r="K53" s="5">
        <v>43473</v>
      </c>
      <c r="L53" s="49" t="s">
        <v>1095</v>
      </c>
      <c r="M53" s="31">
        <f>100000*N53</f>
        <v>100000</v>
      </c>
      <c r="N53" s="32">
        <v>1</v>
      </c>
      <c r="O53" s="47" t="s">
        <v>1096</v>
      </c>
      <c r="P53" s="89">
        <v>100000</v>
      </c>
      <c r="Q53" s="4">
        <v>43507</v>
      </c>
      <c r="R53" s="90" t="s">
        <v>1097</v>
      </c>
      <c r="S53" s="90"/>
      <c r="T53" s="90"/>
      <c r="U53" s="90"/>
      <c r="V53" s="33" t="s">
        <v>926</v>
      </c>
      <c r="W53" s="33" t="s">
        <v>23</v>
      </c>
      <c r="X53" s="53"/>
    </row>
    <row r="54" spans="1:24" ht="22.5" x14ac:dyDescent="0.2">
      <c r="A54" s="2" t="s">
        <v>1098</v>
      </c>
      <c r="B54" s="81" t="s">
        <v>1099</v>
      </c>
      <c r="C54" s="3" t="s">
        <v>73</v>
      </c>
      <c r="D54" s="2" t="s">
        <v>73</v>
      </c>
      <c r="E54" s="3" t="s">
        <v>86</v>
      </c>
      <c r="F54" s="5" t="s">
        <v>86</v>
      </c>
      <c r="G54" s="3"/>
      <c r="H54" s="3"/>
      <c r="I54" s="3"/>
      <c r="J54" s="3"/>
      <c r="K54" s="5" t="s">
        <v>86</v>
      </c>
      <c r="L54" s="5" t="s">
        <v>86</v>
      </c>
      <c r="M54" s="31">
        <v>115414.01</v>
      </c>
      <c r="N54" s="32">
        <v>1</v>
      </c>
      <c r="O54" s="47" t="s">
        <v>1100</v>
      </c>
      <c r="P54" s="89">
        <v>115414.01</v>
      </c>
      <c r="Q54" s="4">
        <v>43507</v>
      </c>
      <c r="R54" s="90" t="s">
        <v>383</v>
      </c>
      <c r="S54" s="90"/>
      <c r="T54" s="90"/>
      <c r="U54" s="90"/>
      <c r="V54" s="33" t="s">
        <v>931</v>
      </c>
      <c r="W54" s="33" t="s">
        <v>24</v>
      </c>
      <c r="X54" s="53" t="s">
        <v>1047</v>
      </c>
    </row>
    <row r="55" spans="1:24" x14ac:dyDescent="0.2">
      <c r="A55" s="2" t="s">
        <v>1101</v>
      </c>
      <c r="B55" s="81" t="s">
        <v>953</v>
      </c>
      <c r="C55" s="4" t="s">
        <v>73</v>
      </c>
      <c r="D55" s="2" t="s">
        <v>73</v>
      </c>
      <c r="E55" s="3" t="s">
        <v>1102</v>
      </c>
      <c r="F55" s="47" t="s">
        <v>1103</v>
      </c>
      <c r="G55" s="4"/>
      <c r="H55" s="4"/>
      <c r="I55" s="4"/>
      <c r="J55" s="4"/>
      <c r="K55" s="4">
        <v>43489</v>
      </c>
      <c r="L55" s="49" t="s">
        <v>1104</v>
      </c>
      <c r="M55" s="31">
        <f>100000*N55</f>
        <v>300000</v>
      </c>
      <c r="N55" s="32">
        <v>3</v>
      </c>
      <c r="O55" s="47" t="s">
        <v>1105</v>
      </c>
      <c r="P55" s="89">
        <v>100000</v>
      </c>
      <c r="Q55" s="4">
        <v>43521</v>
      </c>
      <c r="R55" s="90" t="s">
        <v>1106</v>
      </c>
      <c r="S55" s="90"/>
      <c r="T55" s="90"/>
      <c r="U55" s="90"/>
      <c r="V55" s="33" t="s">
        <v>926</v>
      </c>
      <c r="W55" s="33" t="s">
        <v>23</v>
      </c>
      <c r="X55" s="53" t="s">
        <v>1107</v>
      </c>
    </row>
    <row r="56" spans="1:24" ht="22.5" x14ac:dyDescent="0.2">
      <c r="A56" s="2" t="s">
        <v>1108</v>
      </c>
      <c r="B56" s="81" t="s">
        <v>1109</v>
      </c>
      <c r="C56" s="4" t="s">
        <v>73</v>
      </c>
      <c r="D56" s="2" t="s">
        <v>73</v>
      </c>
      <c r="E56" s="3" t="s">
        <v>86</v>
      </c>
      <c r="F56" s="4" t="s">
        <v>86</v>
      </c>
      <c r="G56" s="4"/>
      <c r="H56" s="4"/>
      <c r="I56" s="4"/>
      <c r="J56" s="4"/>
      <c r="K56" s="4" t="s">
        <v>86</v>
      </c>
      <c r="L56" s="5" t="s">
        <v>86</v>
      </c>
      <c r="M56" s="31">
        <v>104376.35</v>
      </c>
      <c r="N56" s="32">
        <v>1</v>
      </c>
      <c r="O56" s="47" t="s">
        <v>1110</v>
      </c>
      <c r="P56" s="89">
        <v>104376.35</v>
      </c>
      <c r="Q56" s="4">
        <v>43479</v>
      </c>
      <c r="R56" s="90" t="s">
        <v>1111</v>
      </c>
      <c r="S56" s="90"/>
      <c r="T56" s="90"/>
      <c r="U56" s="90"/>
      <c r="V56" s="33" t="s">
        <v>931</v>
      </c>
      <c r="W56" s="33" t="s">
        <v>24</v>
      </c>
      <c r="X56" s="78" t="s">
        <v>1112</v>
      </c>
    </row>
    <row r="57" spans="1:24" ht="22.5" x14ac:dyDescent="0.2">
      <c r="A57" s="2" t="s">
        <v>1113</v>
      </c>
      <c r="B57" s="81" t="s">
        <v>1114</v>
      </c>
      <c r="C57" s="4" t="s">
        <v>73</v>
      </c>
      <c r="D57" s="2" t="s">
        <v>73</v>
      </c>
      <c r="E57" s="3" t="s">
        <v>86</v>
      </c>
      <c r="F57" s="4" t="s">
        <v>86</v>
      </c>
      <c r="G57" s="4"/>
      <c r="H57" s="4"/>
      <c r="I57" s="4"/>
      <c r="J57" s="4"/>
      <c r="K57" s="4" t="s">
        <v>86</v>
      </c>
      <c r="L57" s="5" t="s">
        <v>86</v>
      </c>
      <c r="M57" s="31">
        <v>368600</v>
      </c>
      <c r="N57" s="32">
        <v>1</v>
      </c>
      <c r="O57" s="47" t="s">
        <v>1115</v>
      </c>
      <c r="P57" s="89">
        <v>368600</v>
      </c>
      <c r="Q57" s="4">
        <v>43479</v>
      </c>
      <c r="R57" s="90" t="s">
        <v>345</v>
      </c>
      <c r="S57" s="90"/>
      <c r="T57" s="90"/>
      <c r="U57" s="90"/>
      <c r="V57" s="33" t="s">
        <v>931</v>
      </c>
      <c r="W57" s="33" t="s">
        <v>22</v>
      </c>
      <c r="X57" s="53" t="s">
        <v>346</v>
      </c>
    </row>
    <row r="58" spans="1:24" x14ac:dyDescent="0.2">
      <c r="A58" s="2" t="s">
        <v>1116</v>
      </c>
      <c r="B58" s="138" t="s">
        <v>1117</v>
      </c>
      <c r="C58" s="4">
        <v>43474</v>
      </c>
      <c r="D58" s="48" t="s">
        <v>1118</v>
      </c>
      <c r="E58" s="3" t="s">
        <v>1119</v>
      </c>
      <c r="F58" s="47" t="s">
        <v>1120</v>
      </c>
      <c r="G58" s="4"/>
      <c r="H58" s="4"/>
      <c r="I58" s="4"/>
      <c r="J58" s="4"/>
      <c r="K58" s="4">
        <v>43494</v>
      </c>
      <c r="L58" s="49" t="s">
        <v>1121</v>
      </c>
      <c r="M58" s="31">
        <f>157600+307307+109844.83</f>
        <v>574751.82999999996</v>
      </c>
      <c r="N58" s="32">
        <v>3</v>
      </c>
      <c r="O58" s="47" t="s">
        <v>1122</v>
      </c>
      <c r="P58" s="89">
        <v>109844.83</v>
      </c>
      <c r="Q58" s="4">
        <v>43507</v>
      </c>
      <c r="R58" s="90" t="s">
        <v>1123</v>
      </c>
      <c r="S58" s="90"/>
      <c r="T58" s="90"/>
      <c r="U58" s="90"/>
      <c r="V58" s="33" t="s">
        <v>926</v>
      </c>
      <c r="W58" s="33" t="s">
        <v>24</v>
      </c>
      <c r="X58" s="53"/>
    </row>
    <row r="59" spans="1:24" ht="33.75" x14ac:dyDescent="0.2">
      <c r="A59" s="2" t="s">
        <v>1124</v>
      </c>
      <c r="B59" s="81" t="s">
        <v>1125</v>
      </c>
      <c r="C59" s="4">
        <v>43480</v>
      </c>
      <c r="D59" s="48" t="s">
        <v>1126</v>
      </c>
      <c r="E59" s="3" t="s">
        <v>1127</v>
      </c>
      <c r="F59" s="50" t="s">
        <v>1128</v>
      </c>
      <c r="G59" s="4"/>
      <c r="H59" s="4"/>
      <c r="I59" s="4"/>
      <c r="J59" s="4"/>
      <c r="K59" s="4">
        <v>43502</v>
      </c>
      <c r="L59" s="50" t="s">
        <v>1129</v>
      </c>
      <c r="M59" s="31">
        <f>1639196.75+1659622+1467058+1186575.15</f>
        <v>5952451.9000000004</v>
      </c>
      <c r="N59" s="32">
        <v>4</v>
      </c>
      <c r="O59" s="47" t="s">
        <v>1130</v>
      </c>
      <c r="P59" s="89">
        <v>1186575.1499999999</v>
      </c>
      <c r="Q59" s="4">
        <v>43521</v>
      </c>
      <c r="R59" s="90" t="s">
        <v>1131</v>
      </c>
      <c r="S59" s="90"/>
      <c r="T59" s="90"/>
      <c r="U59" s="90"/>
      <c r="V59" s="33" t="s">
        <v>926</v>
      </c>
      <c r="W59" s="33" t="s">
        <v>24</v>
      </c>
      <c r="X59" s="52"/>
    </row>
    <row r="60" spans="1:24" ht="22.5" x14ac:dyDescent="0.2">
      <c r="A60" s="2" t="s">
        <v>1132</v>
      </c>
      <c r="B60" s="138" t="s">
        <v>1133</v>
      </c>
      <c r="C60" s="96" t="s">
        <v>73</v>
      </c>
      <c r="D60" s="2" t="s">
        <v>73</v>
      </c>
      <c r="E60" s="3" t="s">
        <v>86</v>
      </c>
      <c r="F60" s="3" t="s">
        <v>86</v>
      </c>
      <c r="G60" s="50"/>
      <c r="H60" s="3"/>
      <c r="I60" s="3"/>
      <c r="J60" s="3"/>
      <c r="K60" s="3" t="s">
        <v>86</v>
      </c>
      <c r="L60" s="3" t="s">
        <v>86</v>
      </c>
      <c r="M60" s="31">
        <v>103150.08</v>
      </c>
      <c r="N60" s="32">
        <v>1</v>
      </c>
      <c r="O60" s="47" t="s">
        <v>1134</v>
      </c>
      <c r="P60" s="89">
        <v>103150.08</v>
      </c>
      <c r="Q60" s="4">
        <v>43493</v>
      </c>
      <c r="R60" s="90" t="s">
        <v>326</v>
      </c>
      <c r="S60" s="90"/>
      <c r="T60" s="90"/>
      <c r="U60" s="90"/>
      <c r="V60" s="33" t="s">
        <v>931</v>
      </c>
      <c r="W60" s="33" t="s">
        <v>22</v>
      </c>
      <c r="X60" s="53" t="s">
        <v>327</v>
      </c>
    </row>
    <row r="61" spans="1:24" ht="22.5" x14ac:dyDescent="0.2">
      <c r="A61" s="2" t="s">
        <v>1135</v>
      </c>
      <c r="B61" s="81" t="s">
        <v>438</v>
      </c>
      <c r="C61" s="96" t="s">
        <v>73</v>
      </c>
      <c r="D61" s="2" t="s">
        <v>73</v>
      </c>
      <c r="E61" s="3" t="s">
        <v>86</v>
      </c>
      <c r="F61" s="3" t="s">
        <v>86</v>
      </c>
      <c r="G61" s="4"/>
      <c r="H61" s="4"/>
      <c r="I61" s="4"/>
      <c r="J61" s="4"/>
      <c r="K61" s="3" t="s">
        <v>86</v>
      </c>
      <c r="L61" s="3" t="s">
        <v>86</v>
      </c>
      <c r="M61" s="31">
        <v>508558.68</v>
      </c>
      <c r="N61" s="32">
        <v>1</v>
      </c>
      <c r="O61" s="47" t="s">
        <v>1136</v>
      </c>
      <c r="P61" s="89">
        <v>508558.68</v>
      </c>
      <c r="Q61" s="4">
        <v>43493</v>
      </c>
      <c r="R61" s="90" t="s">
        <v>440</v>
      </c>
      <c r="S61" s="90"/>
      <c r="T61" s="90"/>
      <c r="U61" s="90"/>
      <c r="V61" s="33" t="s">
        <v>931</v>
      </c>
      <c r="W61" s="33" t="s">
        <v>22</v>
      </c>
      <c r="X61" s="53" t="s">
        <v>322</v>
      </c>
    </row>
    <row r="62" spans="1:24" ht="22.5" x14ac:dyDescent="0.2">
      <c r="A62" s="2" t="s">
        <v>1137</v>
      </c>
      <c r="B62" s="138" t="s">
        <v>1138</v>
      </c>
      <c r="C62" s="96" t="s">
        <v>73</v>
      </c>
      <c r="D62" s="2" t="s">
        <v>73</v>
      </c>
      <c r="E62" s="3" t="s">
        <v>86</v>
      </c>
      <c r="F62" s="3" t="s">
        <v>86</v>
      </c>
      <c r="G62" s="4"/>
      <c r="H62" s="4"/>
      <c r="I62" s="4"/>
      <c r="J62" s="4"/>
      <c r="K62" s="3" t="s">
        <v>86</v>
      </c>
      <c r="L62" s="3" t="s">
        <v>86</v>
      </c>
      <c r="M62" s="31">
        <v>59429.61</v>
      </c>
      <c r="N62" s="32">
        <v>1</v>
      </c>
      <c r="O62" s="47" t="s">
        <v>1139</v>
      </c>
      <c r="P62" s="89">
        <v>59429.61</v>
      </c>
      <c r="Q62" s="4">
        <v>43493</v>
      </c>
      <c r="R62" s="90" t="s">
        <v>1140</v>
      </c>
      <c r="S62" s="90"/>
      <c r="T62" s="90"/>
      <c r="U62" s="90"/>
      <c r="V62" s="33" t="s">
        <v>931</v>
      </c>
      <c r="W62" s="33" t="s">
        <v>22</v>
      </c>
      <c r="X62" s="53" t="s">
        <v>1141</v>
      </c>
    </row>
    <row r="63" spans="1:24" ht="22.5" x14ac:dyDescent="0.2">
      <c r="A63" s="2" t="s">
        <v>1142</v>
      </c>
      <c r="B63" s="138" t="s">
        <v>1143</v>
      </c>
      <c r="C63" s="4" t="s">
        <v>73</v>
      </c>
      <c r="D63" s="2" t="s">
        <v>73</v>
      </c>
      <c r="E63" s="3" t="s">
        <v>86</v>
      </c>
      <c r="F63" s="4" t="s">
        <v>86</v>
      </c>
      <c r="G63" s="47"/>
      <c r="H63" s="47"/>
      <c r="I63" s="4"/>
      <c r="J63" s="4"/>
      <c r="K63" s="4" t="s">
        <v>86</v>
      </c>
      <c r="L63" s="5" t="s">
        <v>86</v>
      </c>
      <c r="M63" s="31">
        <v>53399.040000000001</v>
      </c>
      <c r="N63" s="32">
        <v>1</v>
      </c>
      <c r="O63" s="47" t="s">
        <v>1144</v>
      </c>
      <c r="P63" s="89">
        <v>53399.040000000001</v>
      </c>
      <c r="Q63" s="4">
        <v>43507</v>
      </c>
      <c r="R63" s="90" t="s">
        <v>366</v>
      </c>
      <c r="S63" s="90"/>
      <c r="T63" s="90"/>
      <c r="U63" s="90"/>
      <c r="V63" s="33" t="s">
        <v>931</v>
      </c>
      <c r="W63" s="33" t="s">
        <v>22</v>
      </c>
      <c r="X63" s="53" t="s">
        <v>327</v>
      </c>
    </row>
    <row r="64" spans="1:24" ht="22.5" x14ac:dyDescent="0.2">
      <c r="A64" s="2" t="s">
        <v>1145</v>
      </c>
      <c r="B64" s="138" t="s">
        <v>1146</v>
      </c>
      <c r="C64" s="96" t="s">
        <v>73</v>
      </c>
      <c r="D64" s="2" t="s">
        <v>73</v>
      </c>
      <c r="E64" s="3" t="s">
        <v>86</v>
      </c>
      <c r="F64" s="4" t="s">
        <v>86</v>
      </c>
      <c r="G64" s="47"/>
      <c r="H64" s="47"/>
      <c r="I64" s="4"/>
      <c r="J64" s="4"/>
      <c r="K64" s="4" t="s">
        <v>86</v>
      </c>
      <c r="L64" s="5" t="s">
        <v>86</v>
      </c>
      <c r="M64" s="31">
        <v>1071106.33</v>
      </c>
      <c r="N64" s="32">
        <v>1</v>
      </c>
      <c r="O64" s="49" t="s">
        <v>1147</v>
      </c>
      <c r="P64" s="89">
        <v>1071106.33</v>
      </c>
      <c r="Q64" s="94">
        <v>43507</v>
      </c>
      <c r="R64" s="90" t="s">
        <v>383</v>
      </c>
      <c r="S64" s="90"/>
      <c r="T64" s="90"/>
      <c r="U64" s="90"/>
      <c r="V64" s="33" t="s">
        <v>931</v>
      </c>
      <c r="W64" s="33" t="s">
        <v>24</v>
      </c>
      <c r="X64" s="53" t="s">
        <v>1047</v>
      </c>
    </row>
    <row r="65" spans="1:24" ht="22.5" x14ac:dyDescent="0.2">
      <c r="A65" s="2" t="s">
        <v>1148</v>
      </c>
      <c r="B65" s="81" t="s">
        <v>1149</v>
      </c>
      <c r="C65" s="96" t="s">
        <v>73</v>
      </c>
      <c r="D65" s="2" t="s">
        <v>73</v>
      </c>
      <c r="E65" s="3" t="s">
        <v>86</v>
      </c>
      <c r="F65" s="4" t="s">
        <v>86</v>
      </c>
      <c r="G65" s="47"/>
      <c r="H65" s="47"/>
      <c r="I65" s="4"/>
      <c r="J65" s="4"/>
      <c r="K65" s="4" t="s">
        <v>86</v>
      </c>
      <c r="L65" s="5" t="s">
        <v>86</v>
      </c>
      <c r="M65" s="31">
        <v>69768</v>
      </c>
      <c r="N65" s="32">
        <v>1</v>
      </c>
      <c r="O65" s="47" t="s">
        <v>1150</v>
      </c>
      <c r="P65" s="89">
        <v>69768</v>
      </c>
      <c r="Q65" s="4">
        <v>43507</v>
      </c>
      <c r="R65" s="90" t="s">
        <v>1151</v>
      </c>
      <c r="S65" s="90"/>
      <c r="T65" s="90"/>
      <c r="U65" s="90"/>
      <c r="V65" s="33" t="s">
        <v>931</v>
      </c>
      <c r="W65" s="33" t="s">
        <v>22</v>
      </c>
      <c r="X65" s="53" t="s">
        <v>1152</v>
      </c>
    </row>
    <row r="66" spans="1:24" ht="33.75" x14ac:dyDescent="0.2">
      <c r="A66" s="2" t="s">
        <v>1153</v>
      </c>
      <c r="B66" s="81" t="s">
        <v>1154</v>
      </c>
      <c r="C66" s="3" t="s">
        <v>73</v>
      </c>
      <c r="D66" s="2" t="s">
        <v>73</v>
      </c>
      <c r="E66" s="3" t="s">
        <v>86</v>
      </c>
      <c r="F66" s="4" t="s">
        <v>86</v>
      </c>
      <c r="G66" s="50"/>
      <c r="H66" s="50"/>
      <c r="I66" s="3"/>
      <c r="J66" s="3"/>
      <c r="K66" s="4" t="s">
        <v>86</v>
      </c>
      <c r="L66" s="5" t="s">
        <v>86</v>
      </c>
      <c r="M66" s="31">
        <v>52201.95</v>
      </c>
      <c r="N66" s="32">
        <v>1</v>
      </c>
      <c r="O66" s="47" t="s">
        <v>1155</v>
      </c>
      <c r="P66" s="89">
        <v>52201.95</v>
      </c>
      <c r="Q66" s="4">
        <v>43521</v>
      </c>
      <c r="R66" s="90" t="s">
        <v>960</v>
      </c>
      <c r="S66" s="90"/>
      <c r="T66" s="90"/>
      <c r="U66" s="90"/>
      <c r="V66" s="33" t="s">
        <v>931</v>
      </c>
      <c r="W66" s="33" t="s">
        <v>22</v>
      </c>
      <c r="X66" s="53" t="s">
        <v>409</v>
      </c>
    </row>
    <row r="67" spans="1:24" x14ac:dyDescent="0.2">
      <c r="A67" s="2" t="s">
        <v>1156</v>
      </c>
      <c r="B67" s="138" t="s">
        <v>1157</v>
      </c>
      <c r="C67" s="3" t="s">
        <v>73</v>
      </c>
      <c r="D67" s="2" t="s">
        <v>73</v>
      </c>
      <c r="E67" s="3" t="s">
        <v>1158</v>
      </c>
      <c r="F67" s="50" t="s">
        <v>1159</v>
      </c>
      <c r="G67" s="5"/>
      <c r="H67" s="5"/>
      <c r="I67" s="5"/>
      <c r="J67" s="5"/>
      <c r="K67" s="4">
        <v>43539</v>
      </c>
      <c r="L67" s="49" t="s">
        <v>1160</v>
      </c>
      <c r="M67" s="31">
        <f>270000*N67</f>
        <v>270000</v>
      </c>
      <c r="N67" s="32">
        <v>1</v>
      </c>
      <c r="O67" s="47"/>
      <c r="P67" s="89"/>
      <c r="Q67" s="4"/>
      <c r="R67" s="90"/>
      <c r="S67" s="90"/>
      <c r="T67" s="90"/>
      <c r="U67" s="90"/>
      <c r="V67" s="33" t="s">
        <v>926</v>
      </c>
      <c r="W67" s="33" t="s">
        <v>23</v>
      </c>
      <c r="X67" s="53"/>
    </row>
    <row r="68" spans="1:24" x14ac:dyDescent="0.2">
      <c r="A68" s="2" t="s">
        <v>1161</v>
      </c>
      <c r="B68" s="81" t="s">
        <v>1162</v>
      </c>
      <c r="C68" s="3" t="s">
        <v>73</v>
      </c>
      <c r="D68" s="2" t="s">
        <v>73</v>
      </c>
      <c r="E68" s="3" t="s">
        <v>86</v>
      </c>
      <c r="F68" s="3" t="s">
        <v>86</v>
      </c>
      <c r="G68" s="49"/>
      <c r="H68" s="5"/>
      <c r="I68" s="5"/>
      <c r="J68" s="5"/>
      <c r="K68" s="4" t="s">
        <v>86</v>
      </c>
      <c r="L68" s="5" t="s">
        <v>86</v>
      </c>
      <c r="M68" s="31">
        <v>150000</v>
      </c>
      <c r="N68" s="32">
        <v>1</v>
      </c>
      <c r="O68" s="47" t="s">
        <v>1163</v>
      </c>
      <c r="P68" s="89">
        <v>150000</v>
      </c>
      <c r="Q68" s="4">
        <v>43542</v>
      </c>
      <c r="R68" s="90" t="s">
        <v>960</v>
      </c>
      <c r="S68" s="90"/>
      <c r="T68" s="90"/>
      <c r="U68" s="90"/>
      <c r="V68" s="33" t="s">
        <v>931</v>
      </c>
      <c r="W68" s="33" t="s">
        <v>22</v>
      </c>
      <c r="X68" s="53" t="s">
        <v>409</v>
      </c>
    </row>
    <row r="69" spans="1:24" x14ac:dyDescent="0.2">
      <c r="A69" s="2" t="s">
        <v>1164</v>
      </c>
      <c r="B69" s="81" t="s">
        <v>1165</v>
      </c>
      <c r="C69" s="5" t="s">
        <v>73</v>
      </c>
      <c r="D69" s="44" t="s">
        <v>73</v>
      </c>
      <c r="E69" s="3" t="s">
        <v>86</v>
      </c>
      <c r="F69" s="3" t="s">
        <v>86</v>
      </c>
      <c r="G69" s="49"/>
      <c r="H69" s="5"/>
      <c r="I69" s="5"/>
      <c r="J69" s="5"/>
      <c r="K69" s="4" t="s">
        <v>86</v>
      </c>
      <c r="L69" s="5" t="s">
        <v>86</v>
      </c>
      <c r="M69" s="31">
        <v>253160</v>
      </c>
      <c r="N69" s="32">
        <v>1</v>
      </c>
      <c r="O69" s="47" t="s">
        <v>1166</v>
      </c>
      <c r="P69" s="89">
        <v>253160</v>
      </c>
      <c r="Q69" s="4">
        <v>43542</v>
      </c>
      <c r="R69" s="90" t="s">
        <v>1167</v>
      </c>
      <c r="S69" s="90"/>
      <c r="T69" s="90"/>
      <c r="U69" s="90"/>
      <c r="V69" s="33" t="s">
        <v>931</v>
      </c>
      <c r="W69" s="33" t="s">
        <v>22</v>
      </c>
      <c r="X69" s="53" t="s">
        <v>454</v>
      </c>
    </row>
    <row r="70" spans="1:24" x14ac:dyDescent="0.2">
      <c r="A70" s="2" t="s">
        <v>1168</v>
      </c>
      <c r="B70" s="81" t="s">
        <v>1169</v>
      </c>
      <c r="C70" s="5" t="s">
        <v>73</v>
      </c>
      <c r="D70" s="44" t="s">
        <v>73</v>
      </c>
      <c r="E70" s="3" t="s">
        <v>86</v>
      </c>
      <c r="F70" s="3" t="s">
        <v>86</v>
      </c>
      <c r="G70" s="5"/>
      <c r="H70" s="5"/>
      <c r="I70" s="5"/>
      <c r="J70" s="5"/>
      <c r="K70" s="4" t="s">
        <v>86</v>
      </c>
      <c r="L70" s="5" t="s">
        <v>86</v>
      </c>
      <c r="M70" s="31">
        <v>438355.3</v>
      </c>
      <c r="N70" s="32">
        <v>1</v>
      </c>
      <c r="O70" s="47" t="s">
        <v>1170</v>
      </c>
      <c r="P70" s="89">
        <v>438355.3</v>
      </c>
      <c r="Q70" s="4">
        <v>43542</v>
      </c>
      <c r="R70" s="90" t="s">
        <v>1171</v>
      </c>
      <c r="S70" s="90"/>
      <c r="T70" s="90"/>
      <c r="U70" s="90"/>
      <c r="V70" s="33" t="s">
        <v>931</v>
      </c>
      <c r="W70" s="33" t="s">
        <v>22</v>
      </c>
      <c r="X70" s="52" t="s">
        <v>1172</v>
      </c>
    </row>
    <row r="71" spans="1:24" ht="22.5" x14ac:dyDescent="0.2">
      <c r="A71" s="2" t="s">
        <v>1173</v>
      </c>
      <c r="B71" s="81" t="s">
        <v>1174</v>
      </c>
      <c r="C71" s="5" t="s">
        <v>73</v>
      </c>
      <c r="D71" s="44" t="s">
        <v>73</v>
      </c>
      <c r="E71" s="3" t="s">
        <v>86</v>
      </c>
      <c r="F71" s="3" t="s">
        <v>86</v>
      </c>
      <c r="G71" s="4"/>
      <c r="H71" s="4"/>
      <c r="I71" s="4"/>
      <c r="J71" s="4"/>
      <c r="K71" s="4" t="s">
        <v>86</v>
      </c>
      <c r="L71" s="5" t="s">
        <v>86</v>
      </c>
      <c r="M71" s="31">
        <v>263332.46999999997</v>
      </c>
      <c r="N71" s="32">
        <v>1</v>
      </c>
      <c r="O71" s="47" t="s">
        <v>1175</v>
      </c>
      <c r="P71" s="89">
        <v>263332.46999999997</v>
      </c>
      <c r="Q71" s="4">
        <v>43542</v>
      </c>
      <c r="R71" s="90" t="s">
        <v>1176</v>
      </c>
      <c r="S71" s="90"/>
      <c r="T71" s="90"/>
      <c r="U71" s="90"/>
      <c r="V71" s="33" t="s">
        <v>931</v>
      </c>
      <c r="W71" s="33" t="s">
        <v>22</v>
      </c>
      <c r="X71" s="53" t="s">
        <v>1177</v>
      </c>
    </row>
    <row r="72" spans="1:24" x14ac:dyDescent="0.2">
      <c r="A72" s="2" t="s">
        <v>1178</v>
      </c>
      <c r="B72" s="81" t="s">
        <v>1157</v>
      </c>
      <c r="C72" s="4" t="s">
        <v>73</v>
      </c>
      <c r="D72" s="2" t="s">
        <v>73</v>
      </c>
      <c r="E72" s="3" t="s">
        <v>1179</v>
      </c>
      <c r="F72" s="50" t="s">
        <v>1180</v>
      </c>
      <c r="G72" s="5"/>
      <c r="H72" s="5"/>
      <c r="I72" s="5"/>
      <c r="J72" s="5"/>
      <c r="K72" s="4">
        <v>43564</v>
      </c>
      <c r="L72" s="49" t="s">
        <v>1181</v>
      </c>
      <c r="M72" s="31">
        <f>200000*N72</f>
        <v>200000</v>
      </c>
      <c r="N72" s="32">
        <v>1</v>
      </c>
      <c r="O72" s="47" t="s">
        <v>1182</v>
      </c>
      <c r="P72" s="89">
        <v>200000</v>
      </c>
      <c r="Q72" s="4">
        <v>43619</v>
      </c>
      <c r="R72" s="90" t="s">
        <v>1183</v>
      </c>
      <c r="S72" s="90"/>
      <c r="T72" s="90"/>
      <c r="U72" s="90"/>
      <c r="V72" s="33" t="s">
        <v>926</v>
      </c>
      <c r="W72" s="33" t="s">
        <v>23</v>
      </c>
      <c r="X72" s="53" t="s">
        <v>1184</v>
      </c>
    </row>
    <row r="73" spans="1:24" x14ac:dyDescent="0.2">
      <c r="A73" s="2" t="s">
        <v>1185</v>
      </c>
      <c r="B73" s="81" t="s">
        <v>1186</v>
      </c>
      <c r="C73" s="5" t="s">
        <v>73</v>
      </c>
      <c r="D73" s="5" t="s">
        <v>73</v>
      </c>
      <c r="E73" s="3" t="s">
        <v>1187</v>
      </c>
      <c r="F73" s="49" t="s">
        <v>1188</v>
      </c>
      <c r="G73" s="5"/>
      <c r="H73" s="5"/>
      <c r="I73" s="5"/>
      <c r="J73" s="5"/>
      <c r="K73" s="4">
        <v>43594</v>
      </c>
      <c r="L73" s="49" t="s">
        <v>1189</v>
      </c>
      <c r="M73" s="31">
        <f>420000*N73</f>
        <v>420000</v>
      </c>
      <c r="N73" s="32">
        <v>1</v>
      </c>
      <c r="O73" s="47" t="s">
        <v>1190</v>
      </c>
      <c r="P73" s="89">
        <v>420000</v>
      </c>
      <c r="Q73" s="4">
        <v>43626</v>
      </c>
      <c r="R73" s="90" t="s">
        <v>1191</v>
      </c>
      <c r="S73" s="90"/>
      <c r="T73" s="90"/>
      <c r="U73" s="90"/>
      <c r="V73" s="33" t="s">
        <v>926</v>
      </c>
      <c r="W73" s="33" t="s">
        <v>23</v>
      </c>
      <c r="X73" s="53"/>
    </row>
    <row r="74" spans="1:24" ht="22.5" x14ac:dyDescent="0.2">
      <c r="A74" s="2" t="s">
        <v>1192</v>
      </c>
      <c r="B74" s="81" t="s">
        <v>1193</v>
      </c>
      <c r="C74" s="5" t="s">
        <v>73</v>
      </c>
      <c r="D74" s="44" t="s">
        <v>73</v>
      </c>
      <c r="E74" s="3" t="s">
        <v>86</v>
      </c>
      <c r="F74" s="3" t="s">
        <v>86</v>
      </c>
      <c r="G74" s="5"/>
      <c r="H74" s="5"/>
      <c r="I74" s="5"/>
      <c r="J74" s="5"/>
      <c r="K74" s="4" t="s">
        <v>86</v>
      </c>
      <c r="L74" s="5" t="s">
        <v>86</v>
      </c>
      <c r="M74" s="31">
        <f t="shared" ref="M74:M79" si="2">+P74</f>
        <v>133589</v>
      </c>
      <c r="N74" s="32">
        <v>1</v>
      </c>
      <c r="O74" s="47" t="s">
        <v>1194</v>
      </c>
      <c r="P74" s="89">
        <v>133589</v>
      </c>
      <c r="Q74" s="4">
        <v>43570</v>
      </c>
      <c r="R74" s="90" t="s">
        <v>120</v>
      </c>
      <c r="S74" s="90"/>
      <c r="T74" s="90"/>
      <c r="U74" s="90"/>
      <c r="V74" s="33" t="s">
        <v>931</v>
      </c>
      <c r="W74" s="33" t="s">
        <v>22</v>
      </c>
      <c r="X74" s="53" t="s">
        <v>102</v>
      </c>
    </row>
    <row r="75" spans="1:24" x14ac:dyDescent="0.2">
      <c r="A75" s="2" t="s">
        <v>1195</v>
      </c>
      <c r="B75" s="81" t="s">
        <v>1196</v>
      </c>
      <c r="C75" s="5" t="s">
        <v>73</v>
      </c>
      <c r="D75" s="44" t="s">
        <v>73</v>
      </c>
      <c r="E75" s="3" t="s">
        <v>86</v>
      </c>
      <c r="F75" s="3" t="s">
        <v>86</v>
      </c>
      <c r="G75" s="5"/>
      <c r="H75" s="5"/>
      <c r="I75" s="5"/>
      <c r="J75" s="5"/>
      <c r="K75" s="4" t="s">
        <v>86</v>
      </c>
      <c r="L75" s="5" t="s">
        <v>86</v>
      </c>
      <c r="M75" s="31">
        <f t="shared" si="2"/>
        <v>50000</v>
      </c>
      <c r="N75" s="32">
        <v>1</v>
      </c>
      <c r="O75" s="47" t="s">
        <v>1197</v>
      </c>
      <c r="P75" s="89">
        <v>50000</v>
      </c>
      <c r="Q75" s="4">
        <v>43570</v>
      </c>
      <c r="R75" s="90" t="s">
        <v>1198</v>
      </c>
      <c r="S75" s="90"/>
      <c r="T75" s="90"/>
      <c r="U75" s="90"/>
      <c r="V75" s="33" t="s">
        <v>931</v>
      </c>
      <c r="W75" s="33" t="s">
        <v>22</v>
      </c>
      <c r="X75" s="53" t="s">
        <v>1199</v>
      </c>
    </row>
    <row r="76" spans="1:24" ht="22.5" x14ac:dyDescent="0.2">
      <c r="A76" s="2" t="s">
        <v>1200</v>
      </c>
      <c r="B76" s="81" t="s">
        <v>1201</v>
      </c>
      <c r="C76" s="5" t="s">
        <v>73</v>
      </c>
      <c r="D76" s="44" t="s">
        <v>73</v>
      </c>
      <c r="E76" s="3" t="s">
        <v>86</v>
      </c>
      <c r="F76" s="3" t="s">
        <v>86</v>
      </c>
      <c r="G76" s="5"/>
      <c r="H76" s="5"/>
      <c r="I76" s="5"/>
      <c r="J76" s="5"/>
      <c r="K76" s="4" t="s">
        <v>86</v>
      </c>
      <c r="L76" s="5" t="s">
        <v>86</v>
      </c>
      <c r="M76" s="31">
        <f t="shared" si="2"/>
        <v>157000</v>
      </c>
      <c r="N76" s="32">
        <v>1</v>
      </c>
      <c r="O76" s="47" t="s">
        <v>1202</v>
      </c>
      <c r="P76" s="89">
        <v>157000</v>
      </c>
      <c r="Q76" s="4">
        <v>43570</v>
      </c>
      <c r="R76" s="90" t="s">
        <v>1203</v>
      </c>
      <c r="S76" s="90"/>
      <c r="T76" s="90"/>
      <c r="U76" s="90"/>
      <c r="V76" s="33" t="s">
        <v>931</v>
      </c>
      <c r="W76" s="33" t="s">
        <v>22</v>
      </c>
      <c r="X76" s="53" t="s">
        <v>1204</v>
      </c>
    </row>
    <row r="77" spans="1:24" ht="22.5" x14ac:dyDescent="0.2">
      <c r="A77" s="2" t="s">
        <v>1205</v>
      </c>
      <c r="B77" s="81" t="s">
        <v>1206</v>
      </c>
      <c r="C77" s="5" t="s">
        <v>73</v>
      </c>
      <c r="D77" s="44" t="s">
        <v>73</v>
      </c>
      <c r="E77" s="3" t="s">
        <v>86</v>
      </c>
      <c r="F77" s="3" t="s">
        <v>86</v>
      </c>
      <c r="G77" s="47"/>
      <c r="H77" s="4"/>
      <c r="I77" s="4"/>
      <c r="J77" s="4"/>
      <c r="K77" s="4" t="s">
        <v>86</v>
      </c>
      <c r="L77" s="5" t="s">
        <v>86</v>
      </c>
      <c r="M77" s="31">
        <f t="shared" si="2"/>
        <v>283734</v>
      </c>
      <c r="N77" s="32">
        <v>1</v>
      </c>
      <c r="O77" s="47" t="s">
        <v>1207</v>
      </c>
      <c r="P77" s="89">
        <v>283734</v>
      </c>
      <c r="Q77" s="4">
        <v>43570</v>
      </c>
      <c r="R77" s="90" t="s">
        <v>823</v>
      </c>
      <c r="S77" s="90"/>
      <c r="T77" s="90"/>
      <c r="U77" s="90"/>
      <c r="V77" s="33" t="s">
        <v>931</v>
      </c>
      <c r="W77" s="33" t="s">
        <v>22</v>
      </c>
      <c r="X77" s="53" t="s">
        <v>322</v>
      </c>
    </row>
    <row r="78" spans="1:24" ht="22.5" x14ac:dyDescent="0.2">
      <c r="A78" s="2" t="s">
        <v>1208</v>
      </c>
      <c r="B78" s="81" t="s">
        <v>1209</v>
      </c>
      <c r="C78" s="5" t="s">
        <v>73</v>
      </c>
      <c r="D78" s="44" t="s">
        <v>73</v>
      </c>
      <c r="E78" s="3" t="s">
        <v>86</v>
      </c>
      <c r="F78" s="3" t="s">
        <v>86</v>
      </c>
      <c r="G78" s="4"/>
      <c r="H78" s="4"/>
      <c r="I78" s="4"/>
      <c r="J78" s="4"/>
      <c r="K78" s="3" t="s">
        <v>86</v>
      </c>
      <c r="L78" s="3" t="s">
        <v>86</v>
      </c>
      <c r="M78" s="31">
        <f t="shared" si="2"/>
        <v>59230</v>
      </c>
      <c r="N78" s="32">
        <v>1</v>
      </c>
      <c r="O78" s="47" t="s">
        <v>1210</v>
      </c>
      <c r="P78" s="89">
        <v>59230</v>
      </c>
      <c r="Q78" s="4">
        <v>43570</v>
      </c>
      <c r="R78" s="90" t="s">
        <v>326</v>
      </c>
      <c r="S78" s="90"/>
      <c r="T78" s="90"/>
      <c r="U78" s="90"/>
      <c r="V78" s="33" t="s">
        <v>931</v>
      </c>
      <c r="W78" s="33" t="s">
        <v>22</v>
      </c>
      <c r="X78" s="53" t="s">
        <v>1211</v>
      </c>
    </row>
    <row r="79" spans="1:24" ht="22.5" x14ac:dyDescent="0.2">
      <c r="A79" s="2" t="s">
        <v>1212</v>
      </c>
      <c r="B79" s="81" t="s">
        <v>1213</v>
      </c>
      <c r="C79" s="5" t="s">
        <v>73</v>
      </c>
      <c r="D79" s="5" t="s">
        <v>73</v>
      </c>
      <c r="E79" s="3" t="s">
        <v>86</v>
      </c>
      <c r="F79" s="3" t="s">
        <v>86</v>
      </c>
      <c r="G79" s="49"/>
      <c r="H79" s="5"/>
      <c r="I79" s="5"/>
      <c r="J79" s="5"/>
      <c r="K79" s="3" t="s">
        <v>86</v>
      </c>
      <c r="L79" s="3" t="s">
        <v>86</v>
      </c>
      <c r="M79" s="31">
        <f t="shared" si="2"/>
        <v>61200</v>
      </c>
      <c r="N79" s="32">
        <v>1</v>
      </c>
      <c r="O79" s="47" t="s">
        <v>1214</v>
      </c>
      <c r="P79" s="89">
        <v>61200</v>
      </c>
      <c r="Q79" s="4">
        <v>43570</v>
      </c>
      <c r="R79" s="90" t="s">
        <v>1215</v>
      </c>
      <c r="S79" s="90"/>
      <c r="T79" s="90"/>
      <c r="U79" s="90"/>
      <c r="V79" s="33" t="s">
        <v>931</v>
      </c>
      <c r="W79" s="33" t="s">
        <v>22</v>
      </c>
      <c r="X79" s="53" t="s">
        <v>1216</v>
      </c>
    </row>
    <row r="80" spans="1:24" ht="22.5" x14ac:dyDescent="0.2">
      <c r="A80" s="2" t="s">
        <v>1217</v>
      </c>
      <c r="B80" s="81" t="s">
        <v>1218</v>
      </c>
      <c r="C80" s="5">
        <v>43594</v>
      </c>
      <c r="D80" s="179" t="s">
        <v>1219</v>
      </c>
      <c r="E80" s="3" t="s">
        <v>1220</v>
      </c>
      <c r="F80" s="49" t="s">
        <v>1221</v>
      </c>
      <c r="G80" s="49" t="s">
        <v>1222</v>
      </c>
      <c r="H80" s="49" t="s">
        <v>1223</v>
      </c>
      <c r="I80" s="5"/>
      <c r="J80" s="5"/>
      <c r="K80" s="4">
        <v>43627</v>
      </c>
      <c r="L80" s="49" t="s">
        <v>1224</v>
      </c>
      <c r="M80" s="31">
        <f>2153161+1629865+2135206+1882024.5+1825019+1890788+2099691.97+1777453+2265411.15+2182586</f>
        <v>19841205.620000001</v>
      </c>
      <c r="N80" s="32">
        <v>10</v>
      </c>
      <c r="O80" s="47" t="s">
        <v>1225</v>
      </c>
      <c r="P80" s="89">
        <v>1777453</v>
      </c>
      <c r="Q80" s="4">
        <v>43668</v>
      </c>
      <c r="R80" s="90" t="s">
        <v>1226</v>
      </c>
      <c r="S80" s="90"/>
      <c r="T80" s="90"/>
      <c r="U80" s="90"/>
      <c r="V80" s="33" t="s">
        <v>926</v>
      </c>
      <c r="W80" s="33" t="s">
        <v>24</v>
      </c>
      <c r="X80" s="53"/>
    </row>
    <row r="81" spans="1:24" x14ac:dyDescent="0.2">
      <c r="A81" s="2" t="s">
        <v>1227</v>
      </c>
      <c r="B81" s="81" t="s">
        <v>1228</v>
      </c>
      <c r="C81" s="4">
        <v>43586</v>
      </c>
      <c r="D81" s="48" t="s">
        <v>1229</v>
      </c>
      <c r="E81" s="3" t="s">
        <v>1230</v>
      </c>
      <c r="F81" s="47" t="s">
        <v>1231</v>
      </c>
      <c r="G81" s="47" t="s">
        <v>1232</v>
      </c>
      <c r="H81" s="4"/>
      <c r="I81" s="4"/>
      <c r="J81" s="4"/>
      <c r="K81" s="4">
        <v>43608</v>
      </c>
      <c r="L81" s="49" t="s">
        <v>1233</v>
      </c>
      <c r="M81" s="31">
        <v>617220</v>
      </c>
      <c r="N81" s="32">
        <v>1</v>
      </c>
      <c r="O81" s="47" t="s">
        <v>1234</v>
      </c>
      <c r="P81" s="89">
        <v>619845</v>
      </c>
      <c r="Q81" s="4">
        <v>43668</v>
      </c>
      <c r="R81" s="90" t="s">
        <v>1235</v>
      </c>
      <c r="S81" s="90"/>
      <c r="T81" s="90"/>
      <c r="U81" s="90"/>
      <c r="V81" s="33" t="s">
        <v>926</v>
      </c>
      <c r="W81" s="33" t="s">
        <v>24</v>
      </c>
      <c r="X81" s="53" t="s">
        <v>1236</v>
      </c>
    </row>
    <row r="82" spans="1:24" x14ac:dyDescent="0.2">
      <c r="A82" s="2" t="s">
        <v>1237</v>
      </c>
      <c r="B82" s="81" t="s">
        <v>1238</v>
      </c>
      <c r="C82" s="5" t="s">
        <v>73</v>
      </c>
      <c r="D82" s="44" t="s">
        <v>73</v>
      </c>
      <c r="E82" s="3" t="s">
        <v>1239</v>
      </c>
      <c r="F82" s="49" t="s">
        <v>1240</v>
      </c>
      <c r="G82" s="5"/>
      <c r="H82" s="5"/>
      <c r="I82" s="5"/>
      <c r="J82" s="5"/>
      <c r="K82" s="4">
        <v>43627</v>
      </c>
      <c r="L82" s="49" t="s">
        <v>1241</v>
      </c>
      <c r="M82" s="31">
        <f>60000*N82</f>
        <v>420000</v>
      </c>
      <c r="N82" s="32">
        <v>7</v>
      </c>
      <c r="O82" s="47" t="s">
        <v>1242</v>
      </c>
      <c r="P82" s="89">
        <v>60000</v>
      </c>
      <c r="Q82" s="4">
        <v>43668</v>
      </c>
      <c r="R82" s="90" t="s">
        <v>712</v>
      </c>
      <c r="S82" s="90" t="s">
        <v>1243</v>
      </c>
      <c r="T82" s="90"/>
      <c r="U82" s="90"/>
      <c r="V82" s="33" t="s">
        <v>926</v>
      </c>
      <c r="W82" s="33" t="s">
        <v>22</v>
      </c>
      <c r="X82" s="53"/>
    </row>
    <row r="83" spans="1:24" x14ac:dyDescent="0.2">
      <c r="A83" s="2" t="s">
        <v>1244</v>
      </c>
      <c r="B83" s="81" t="s">
        <v>1245</v>
      </c>
      <c r="C83" s="5">
        <v>43615</v>
      </c>
      <c r="D83" s="179" t="s">
        <v>1246</v>
      </c>
      <c r="E83" s="3" t="s">
        <v>1247</v>
      </c>
      <c r="F83" s="49" t="s">
        <v>1248</v>
      </c>
      <c r="G83" s="5"/>
      <c r="H83" s="5"/>
      <c r="I83" s="5"/>
      <c r="J83" s="5"/>
      <c r="K83" s="4">
        <v>43641</v>
      </c>
      <c r="L83" s="181" t="s">
        <v>1249</v>
      </c>
      <c r="M83" s="31">
        <f>657400+693658.45</f>
        <v>1351058.45</v>
      </c>
      <c r="N83" s="32">
        <v>2</v>
      </c>
      <c r="O83" s="47" t="s">
        <v>1250</v>
      </c>
      <c r="P83" s="89">
        <v>657400</v>
      </c>
      <c r="Q83" s="4">
        <v>43668</v>
      </c>
      <c r="R83" s="90" t="s">
        <v>1251</v>
      </c>
      <c r="S83" s="90"/>
      <c r="T83" s="90"/>
      <c r="U83" s="90"/>
      <c r="V83" s="33" t="s">
        <v>926</v>
      </c>
      <c r="W83" s="33" t="s">
        <v>24</v>
      </c>
      <c r="X83" s="53"/>
    </row>
    <row r="84" spans="1:24" x14ac:dyDescent="0.2">
      <c r="A84" s="2" t="s">
        <v>1252</v>
      </c>
      <c r="B84" s="81" t="s">
        <v>1253</v>
      </c>
      <c r="C84" s="5" t="s">
        <v>73</v>
      </c>
      <c r="D84" s="44" t="s">
        <v>73</v>
      </c>
      <c r="E84" s="3" t="s">
        <v>1254</v>
      </c>
      <c r="F84" s="49" t="s">
        <v>1255</v>
      </c>
      <c r="G84" s="5"/>
      <c r="H84" s="5"/>
      <c r="I84" s="5"/>
      <c r="J84" s="5"/>
      <c r="K84" s="4">
        <v>43663</v>
      </c>
      <c r="L84" s="181" t="s">
        <v>1256</v>
      </c>
      <c r="M84" s="31">
        <f>60000*N84</f>
        <v>240000</v>
      </c>
      <c r="N84" s="32">
        <v>4</v>
      </c>
      <c r="O84" s="47"/>
      <c r="P84" s="89"/>
      <c r="Q84" s="4"/>
      <c r="R84" s="90"/>
      <c r="S84" s="90"/>
      <c r="T84" s="90"/>
      <c r="U84" s="90"/>
      <c r="V84" s="33" t="s">
        <v>926</v>
      </c>
      <c r="W84" s="33" t="s">
        <v>22</v>
      </c>
      <c r="X84" s="53"/>
    </row>
    <row r="85" spans="1:24" ht="22.5" x14ac:dyDescent="0.2">
      <c r="A85" s="2" t="s">
        <v>1257</v>
      </c>
      <c r="B85" s="138" t="s">
        <v>1258</v>
      </c>
      <c r="C85" s="5" t="s">
        <v>73</v>
      </c>
      <c r="D85" s="44" t="s">
        <v>73</v>
      </c>
      <c r="E85" s="3" t="s">
        <v>1259</v>
      </c>
      <c r="F85" s="47" t="s">
        <v>1260</v>
      </c>
      <c r="G85" s="4"/>
      <c r="H85" s="4"/>
      <c r="I85" s="4"/>
      <c r="J85" s="4"/>
      <c r="K85" s="4">
        <v>43634</v>
      </c>
      <c r="L85" s="181" t="s">
        <v>1261</v>
      </c>
      <c r="M85" s="31">
        <f>50000*N85</f>
        <v>100000</v>
      </c>
      <c r="N85" s="32">
        <v>2</v>
      </c>
      <c r="O85" s="47" t="s">
        <v>1262</v>
      </c>
      <c r="P85" s="89">
        <v>50000</v>
      </c>
      <c r="Q85" s="4">
        <v>43668</v>
      </c>
      <c r="R85" s="90" t="s">
        <v>1263</v>
      </c>
      <c r="S85" s="90"/>
      <c r="T85" s="90"/>
      <c r="U85" s="90"/>
      <c r="V85" s="33" t="s">
        <v>926</v>
      </c>
      <c r="W85" s="33" t="s">
        <v>23</v>
      </c>
      <c r="X85" s="53"/>
    </row>
    <row r="86" spans="1:24" x14ac:dyDescent="0.2">
      <c r="A86" s="2" t="s">
        <v>1264</v>
      </c>
      <c r="B86" s="81" t="s">
        <v>1265</v>
      </c>
      <c r="C86" s="5" t="s">
        <v>73</v>
      </c>
      <c r="D86" s="44" t="s">
        <v>73</v>
      </c>
      <c r="E86" s="3" t="s">
        <v>1266</v>
      </c>
      <c r="F86" s="49" t="s">
        <v>1267</v>
      </c>
      <c r="G86" s="5"/>
      <c r="H86" s="5"/>
      <c r="I86" s="5"/>
      <c r="J86" s="5"/>
      <c r="K86" s="4">
        <v>43664</v>
      </c>
      <c r="L86" s="181" t="s">
        <v>1268</v>
      </c>
      <c r="M86" s="31">
        <f>50000*N86</f>
        <v>100000</v>
      </c>
      <c r="N86" s="32">
        <v>2</v>
      </c>
      <c r="O86" s="47" t="s">
        <v>1269</v>
      </c>
      <c r="P86" s="89">
        <v>50000</v>
      </c>
      <c r="Q86" s="4">
        <v>43696</v>
      </c>
      <c r="R86" s="90" t="s">
        <v>1270</v>
      </c>
      <c r="S86" s="90"/>
      <c r="T86" s="90"/>
      <c r="U86" s="90"/>
      <c r="V86" s="33" t="s">
        <v>926</v>
      </c>
      <c r="W86" s="33" t="s">
        <v>23</v>
      </c>
      <c r="X86" s="53"/>
    </row>
    <row r="87" spans="1:24" ht="22.5" x14ac:dyDescent="0.2">
      <c r="A87" s="2" t="s">
        <v>1271</v>
      </c>
      <c r="B87" s="81" t="s">
        <v>1272</v>
      </c>
      <c r="C87" s="4" t="s">
        <v>73</v>
      </c>
      <c r="D87" s="44" t="s">
        <v>73</v>
      </c>
      <c r="E87" s="3" t="s">
        <v>1266</v>
      </c>
      <c r="F87" s="47" t="s">
        <v>1273</v>
      </c>
      <c r="G87" s="4"/>
      <c r="H87" s="4"/>
      <c r="I87" s="4"/>
      <c r="J87" s="4"/>
      <c r="K87" s="4">
        <v>43654</v>
      </c>
      <c r="L87" s="181" t="s">
        <v>1274</v>
      </c>
      <c r="M87" s="31">
        <v>156553.28</v>
      </c>
      <c r="N87" s="32">
        <v>1</v>
      </c>
      <c r="O87" s="47" t="s">
        <v>1275</v>
      </c>
      <c r="P87" s="89">
        <v>156553.28</v>
      </c>
      <c r="Q87" s="4">
        <v>43668</v>
      </c>
      <c r="R87" s="90" t="s">
        <v>1276</v>
      </c>
      <c r="S87" s="90"/>
      <c r="T87" s="90"/>
      <c r="U87" s="90"/>
      <c r="V87" s="33" t="s">
        <v>926</v>
      </c>
      <c r="W87" s="33" t="s">
        <v>22</v>
      </c>
      <c r="X87" s="53"/>
    </row>
    <row r="88" spans="1:24" x14ac:dyDescent="0.2">
      <c r="A88" s="2" t="s">
        <v>1277</v>
      </c>
      <c r="B88" s="81" t="s">
        <v>1278</v>
      </c>
      <c r="C88" s="5">
        <v>43692</v>
      </c>
      <c r="D88" s="179" t="s">
        <v>1279</v>
      </c>
      <c r="E88" s="3" t="s">
        <v>1280</v>
      </c>
      <c r="F88" s="49" t="s">
        <v>1281</v>
      </c>
      <c r="G88" s="5"/>
      <c r="H88" s="5"/>
      <c r="I88" s="5"/>
      <c r="J88" s="5"/>
      <c r="K88" s="4">
        <v>43720</v>
      </c>
      <c r="L88" s="181" t="s">
        <v>1282</v>
      </c>
      <c r="M88" s="31">
        <f>3283077.5+3098597.08+2924207+2966984.4</f>
        <v>12272865.98</v>
      </c>
      <c r="N88" s="32">
        <v>4</v>
      </c>
      <c r="O88" s="47" t="s">
        <v>1283</v>
      </c>
      <c r="P88" s="89">
        <v>3018251.2</v>
      </c>
      <c r="Q88" s="4">
        <v>43780</v>
      </c>
      <c r="R88" s="97" t="s">
        <v>1284</v>
      </c>
      <c r="S88" s="97"/>
      <c r="T88" s="97"/>
      <c r="U88" s="97"/>
      <c r="V88" s="33" t="s">
        <v>926</v>
      </c>
      <c r="W88" s="33" t="s">
        <v>24</v>
      </c>
      <c r="X88" s="53"/>
    </row>
    <row r="89" spans="1:24" x14ac:dyDescent="0.2">
      <c r="A89" s="2" t="s">
        <v>1285</v>
      </c>
      <c r="B89" s="81" t="s">
        <v>1286</v>
      </c>
      <c r="C89" s="5">
        <v>43649</v>
      </c>
      <c r="D89" s="179" t="s">
        <v>1287</v>
      </c>
      <c r="E89" s="3" t="s">
        <v>1288</v>
      </c>
      <c r="F89" s="49" t="s">
        <v>1289</v>
      </c>
      <c r="G89" s="49" t="s">
        <v>1290</v>
      </c>
      <c r="H89" s="5"/>
      <c r="I89" s="5"/>
      <c r="J89" s="5"/>
      <c r="K89" s="4">
        <v>43677</v>
      </c>
      <c r="L89" s="181" t="s">
        <v>1291</v>
      </c>
      <c r="M89" s="31">
        <f>104215+81084+124481+73060</f>
        <v>382840</v>
      </c>
      <c r="N89" s="32">
        <v>4</v>
      </c>
      <c r="O89" s="47" t="s">
        <v>1292</v>
      </c>
      <c r="P89" s="89">
        <v>73060</v>
      </c>
      <c r="Q89" s="4">
        <v>43696</v>
      </c>
      <c r="R89" s="90" t="s">
        <v>1131</v>
      </c>
      <c r="S89" s="90"/>
      <c r="T89" s="90"/>
      <c r="U89" s="90"/>
      <c r="V89" s="33" t="s">
        <v>926</v>
      </c>
      <c r="W89" s="33" t="s">
        <v>24</v>
      </c>
      <c r="X89" s="53"/>
    </row>
    <row r="90" spans="1:24" x14ac:dyDescent="0.2">
      <c r="A90" s="2" t="s">
        <v>1293</v>
      </c>
      <c r="B90" s="81" t="s">
        <v>1294</v>
      </c>
      <c r="C90" s="5">
        <v>43634</v>
      </c>
      <c r="D90" s="179" t="s">
        <v>1295</v>
      </c>
      <c r="E90" s="3" t="s">
        <v>1296</v>
      </c>
      <c r="F90" s="49" t="s">
        <v>1297</v>
      </c>
      <c r="G90" s="5"/>
      <c r="H90" s="5"/>
      <c r="I90" s="5"/>
      <c r="J90" s="5"/>
      <c r="K90" s="4">
        <v>43662</v>
      </c>
      <c r="L90" s="181" t="s">
        <v>1298</v>
      </c>
      <c r="M90" s="31">
        <f>845581+605306+599721+722159+677673.5+575722+676447.2+605891+665846</f>
        <v>5974346.7000000002</v>
      </c>
      <c r="N90" s="32">
        <v>9</v>
      </c>
      <c r="O90" s="49" t="s">
        <v>1299</v>
      </c>
      <c r="P90" s="95">
        <v>599721</v>
      </c>
      <c r="Q90" s="4">
        <v>43682</v>
      </c>
      <c r="R90" s="90" t="s">
        <v>1300</v>
      </c>
      <c r="S90" s="90"/>
      <c r="T90" s="90"/>
      <c r="U90" s="90"/>
      <c r="V90" s="33" t="s">
        <v>926</v>
      </c>
      <c r="W90" s="33" t="s">
        <v>24</v>
      </c>
      <c r="X90" s="53"/>
    </row>
    <row r="91" spans="1:24" ht="22.5" x14ac:dyDescent="0.2">
      <c r="A91" s="2" t="s">
        <v>1301</v>
      </c>
      <c r="B91" s="81" t="s">
        <v>1302</v>
      </c>
      <c r="C91" s="5" t="s">
        <v>73</v>
      </c>
      <c r="D91" s="44" t="s">
        <v>73</v>
      </c>
      <c r="E91" s="3" t="s">
        <v>1303</v>
      </c>
      <c r="F91" s="49" t="s">
        <v>1304</v>
      </c>
      <c r="G91" s="49" t="s">
        <v>1305</v>
      </c>
      <c r="H91" s="5"/>
      <c r="I91" s="5"/>
      <c r="J91" s="5"/>
      <c r="K91" s="4">
        <v>43699</v>
      </c>
      <c r="L91" s="181" t="s">
        <v>1306</v>
      </c>
      <c r="M91" s="31">
        <f>100000*N91</f>
        <v>200000</v>
      </c>
      <c r="N91" s="32">
        <v>2</v>
      </c>
      <c r="O91" s="47" t="s">
        <v>1307</v>
      </c>
      <c r="P91" s="89">
        <v>100000</v>
      </c>
      <c r="Q91" s="4">
        <v>43717</v>
      </c>
      <c r="R91" s="90" t="s">
        <v>1106</v>
      </c>
      <c r="S91" s="90" t="s">
        <v>1308</v>
      </c>
      <c r="T91" s="90"/>
      <c r="U91" s="90"/>
      <c r="V91" s="33" t="s">
        <v>926</v>
      </c>
      <c r="W91" s="33" t="s">
        <v>22</v>
      </c>
      <c r="X91" s="53"/>
    </row>
    <row r="92" spans="1:24" ht="22.5" x14ac:dyDescent="0.2">
      <c r="A92" s="2" t="s">
        <v>1309</v>
      </c>
      <c r="B92" s="81" t="s">
        <v>456</v>
      </c>
      <c r="C92" s="5">
        <v>43658</v>
      </c>
      <c r="D92" s="179" t="s">
        <v>1310</v>
      </c>
      <c r="E92" s="3" t="s">
        <v>1311</v>
      </c>
      <c r="F92" s="49" t="s">
        <v>1312</v>
      </c>
      <c r="G92" s="49" t="s">
        <v>1313</v>
      </c>
      <c r="H92" s="5"/>
      <c r="I92" s="5"/>
      <c r="J92" s="5"/>
      <c r="K92" s="4">
        <v>43679</v>
      </c>
      <c r="L92" s="181" t="s">
        <v>1314</v>
      </c>
      <c r="M92" s="31">
        <v>185830</v>
      </c>
      <c r="N92" s="32">
        <v>1</v>
      </c>
      <c r="O92" s="47"/>
      <c r="P92" s="89"/>
      <c r="Q92" s="4"/>
      <c r="R92" s="90"/>
      <c r="S92" s="90"/>
      <c r="T92" s="90"/>
      <c r="U92" s="90"/>
      <c r="V92" s="33" t="s">
        <v>926</v>
      </c>
      <c r="W92" s="33" t="s">
        <v>24</v>
      </c>
      <c r="X92" s="53"/>
    </row>
    <row r="93" spans="1:24" ht="22.5" x14ac:dyDescent="0.2">
      <c r="A93" s="2" t="s">
        <v>1315</v>
      </c>
      <c r="B93" s="81" t="s">
        <v>1316</v>
      </c>
      <c r="C93" s="5">
        <v>43665</v>
      </c>
      <c r="D93" s="179" t="s">
        <v>1317</v>
      </c>
      <c r="E93" s="3" t="s">
        <v>1318</v>
      </c>
      <c r="F93" s="49" t="s">
        <v>1319</v>
      </c>
      <c r="G93" s="49" t="s">
        <v>1320</v>
      </c>
      <c r="H93" s="5"/>
      <c r="I93" s="5"/>
      <c r="J93" s="5"/>
      <c r="K93" s="4">
        <v>43692</v>
      </c>
      <c r="L93" s="181" t="s">
        <v>1321</v>
      </c>
      <c r="M93" s="31">
        <f>425540+253804+362755+312100+342378.78</f>
        <v>1696577.78</v>
      </c>
      <c r="N93" s="32">
        <v>5</v>
      </c>
      <c r="O93" s="47" t="s">
        <v>1322</v>
      </c>
      <c r="P93" s="89">
        <v>257554</v>
      </c>
      <c r="Q93" s="4">
        <v>43717</v>
      </c>
      <c r="R93" s="90" t="s">
        <v>1323</v>
      </c>
      <c r="S93" s="90"/>
      <c r="T93" s="90"/>
      <c r="U93" s="90"/>
      <c r="V93" s="33" t="s">
        <v>926</v>
      </c>
      <c r="W93" s="33" t="s">
        <v>24</v>
      </c>
      <c r="X93" s="53"/>
    </row>
    <row r="94" spans="1:24" x14ac:dyDescent="0.2">
      <c r="A94" s="2" t="s">
        <v>1324</v>
      </c>
      <c r="B94" s="81" t="s">
        <v>1325</v>
      </c>
      <c r="C94" s="5" t="s">
        <v>73</v>
      </c>
      <c r="D94" s="44" t="s">
        <v>73</v>
      </c>
      <c r="E94" s="3" t="s">
        <v>86</v>
      </c>
      <c r="F94" s="3" t="s">
        <v>86</v>
      </c>
      <c r="G94" s="5"/>
      <c r="H94" s="5"/>
      <c r="I94" s="5"/>
      <c r="J94" s="5"/>
      <c r="K94" s="4" t="s">
        <v>86</v>
      </c>
      <c r="L94" s="33" t="s">
        <v>86</v>
      </c>
      <c r="M94" s="31">
        <v>56284</v>
      </c>
      <c r="N94" s="32">
        <v>1</v>
      </c>
      <c r="O94" s="47" t="s">
        <v>1326</v>
      </c>
      <c r="P94" s="89">
        <v>56284</v>
      </c>
      <c r="Q94" s="4">
        <v>43668</v>
      </c>
      <c r="R94" s="90" t="s">
        <v>789</v>
      </c>
      <c r="S94" s="90"/>
      <c r="T94" s="90"/>
      <c r="U94" s="90"/>
      <c r="V94" s="33" t="s">
        <v>931</v>
      </c>
      <c r="W94" s="33" t="s">
        <v>23</v>
      </c>
      <c r="X94" s="53" t="s">
        <v>790</v>
      </c>
    </row>
    <row r="95" spans="1:24" ht="33.75" x14ac:dyDescent="0.2">
      <c r="A95" s="2" t="s">
        <v>1327</v>
      </c>
      <c r="B95" s="81" t="s">
        <v>1328</v>
      </c>
      <c r="C95" s="5" t="s">
        <v>73</v>
      </c>
      <c r="D95" s="44" t="s">
        <v>73</v>
      </c>
      <c r="E95" s="3" t="s">
        <v>86</v>
      </c>
      <c r="F95" s="3" t="s">
        <v>86</v>
      </c>
      <c r="G95" s="5"/>
      <c r="H95" s="5"/>
      <c r="I95" s="5"/>
      <c r="J95" s="5"/>
      <c r="K95" s="4" t="s">
        <v>86</v>
      </c>
      <c r="L95" s="33" t="s">
        <v>86</v>
      </c>
      <c r="M95" s="31">
        <v>156001.60000000001</v>
      </c>
      <c r="N95" s="32">
        <v>1</v>
      </c>
      <c r="O95" s="47" t="s">
        <v>1329</v>
      </c>
      <c r="P95" s="89">
        <v>156001.60000000001</v>
      </c>
      <c r="Q95" s="4">
        <v>43668</v>
      </c>
      <c r="R95" s="90" t="s">
        <v>1330</v>
      </c>
      <c r="S95" s="90"/>
      <c r="T95" s="90"/>
      <c r="U95" s="90"/>
      <c r="V95" s="33" t="s">
        <v>931</v>
      </c>
      <c r="W95" s="33" t="s">
        <v>22</v>
      </c>
      <c r="X95" s="53" t="s">
        <v>1331</v>
      </c>
    </row>
    <row r="96" spans="1:24" x14ac:dyDescent="0.2">
      <c r="A96" s="2" t="s">
        <v>1332</v>
      </c>
      <c r="B96" s="81" t="s">
        <v>1333</v>
      </c>
      <c r="C96" s="4" t="s">
        <v>73</v>
      </c>
      <c r="D96" s="44" t="s">
        <v>73</v>
      </c>
      <c r="E96" s="3" t="s">
        <v>86</v>
      </c>
      <c r="F96" s="3" t="s">
        <v>86</v>
      </c>
      <c r="G96" s="4"/>
      <c r="H96" s="4"/>
      <c r="I96" s="4"/>
      <c r="J96" s="4"/>
      <c r="K96" s="4" t="s">
        <v>86</v>
      </c>
      <c r="L96" s="33" t="s">
        <v>86</v>
      </c>
      <c r="M96" s="31">
        <v>300000</v>
      </c>
      <c r="N96" s="32">
        <v>1</v>
      </c>
      <c r="O96" s="47" t="s">
        <v>1334</v>
      </c>
      <c r="P96" s="89">
        <v>300000</v>
      </c>
      <c r="Q96" s="4">
        <v>43696</v>
      </c>
      <c r="R96" s="90" t="s">
        <v>1335</v>
      </c>
      <c r="S96" s="90"/>
      <c r="T96" s="90"/>
      <c r="U96" s="90"/>
      <c r="V96" s="33" t="s">
        <v>931</v>
      </c>
      <c r="W96" s="33" t="s">
        <v>22</v>
      </c>
      <c r="X96" s="53" t="s">
        <v>1336</v>
      </c>
    </row>
    <row r="97" spans="1:25" ht="22.5" x14ac:dyDescent="0.2">
      <c r="A97" s="2" t="s">
        <v>1337</v>
      </c>
      <c r="B97" s="81" t="s">
        <v>1338</v>
      </c>
      <c r="C97" s="5" t="s">
        <v>73</v>
      </c>
      <c r="D97" s="44" t="s">
        <v>73</v>
      </c>
      <c r="E97" s="3" t="s">
        <v>86</v>
      </c>
      <c r="F97" s="3" t="s">
        <v>86</v>
      </c>
      <c r="G97" s="5"/>
      <c r="H97" s="5"/>
      <c r="I97" s="5"/>
      <c r="J97" s="5"/>
      <c r="K97" s="3" t="s">
        <v>86</v>
      </c>
      <c r="L97" s="3" t="s">
        <v>86</v>
      </c>
      <c r="M97" s="31">
        <v>250000</v>
      </c>
      <c r="N97" s="32">
        <v>1</v>
      </c>
      <c r="O97" s="47" t="s">
        <v>1339</v>
      </c>
      <c r="P97" s="89">
        <v>250000</v>
      </c>
      <c r="Q97" s="4">
        <v>43696</v>
      </c>
      <c r="R97" s="90" t="s">
        <v>1171</v>
      </c>
      <c r="S97" s="90"/>
      <c r="T97" s="90"/>
      <c r="U97" s="90"/>
      <c r="V97" s="33" t="s">
        <v>931</v>
      </c>
      <c r="W97" s="33" t="s">
        <v>22</v>
      </c>
      <c r="X97" s="53" t="s">
        <v>1340</v>
      </c>
    </row>
    <row r="98" spans="1:25" ht="22.5" x14ac:dyDescent="0.2">
      <c r="A98" s="2" t="s">
        <v>1341</v>
      </c>
      <c r="B98" s="81" t="s">
        <v>1342</v>
      </c>
      <c r="C98" s="4" t="s">
        <v>73</v>
      </c>
      <c r="D98" s="44" t="s">
        <v>73</v>
      </c>
      <c r="E98" s="3" t="s">
        <v>86</v>
      </c>
      <c r="F98" s="3" t="s">
        <v>86</v>
      </c>
      <c r="G98" s="49"/>
      <c r="H98" s="4"/>
      <c r="I98" s="4"/>
      <c r="J98" s="4"/>
      <c r="K98" s="4" t="s">
        <v>86</v>
      </c>
      <c r="L98" s="5" t="s">
        <v>86</v>
      </c>
      <c r="M98" s="31">
        <v>188260</v>
      </c>
      <c r="N98" s="32">
        <v>1</v>
      </c>
      <c r="O98" s="47" t="s">
        <v>1343</v>
      </c>
      <c r="P98" s="89">
        <v>188260</v>
      </c>
      <c r="Q98" s="4">
        <v>43717</v>
      </c>
      <c r="R98" s="90" t="s">
        <v>345</v>
      </c>
      <c r="S98" s="90"/>
      <c r="T98" s="90"/>
      <c r="U98" s="90"/>
      <c r="V98" s="33" t="s">
        <v>931</v>
      </c>
      <c r="W98" s="33" t="s">
        <v>22</v>
      </c>
      <c r="X98" s="53" t="s">
        <v>346</v>
      </c>
    </row>
    <row r="99" spans="1:25" x14ac:dyDescent="0.2">
      <c r="A99" s="2" t="s">
        <v>1344</v>
      </c>
      <c r="B99" s="81" t="s">
        <v>1345</v>
      </c>
      <c r="C99" s="4">
        <v>43706</v>
      </c>
      <c r="D99" s="179" t="s">
        <v>1346</v>
      </c>
      <c r="E99" s="3" t="s">
        <v>1347</v>
      </c>
      <c r="F99" s="47" t="s">
        <v>1348</v>
      </c>
      <c r="G99" s="49" t="s">
        <v>1349</v>
      </c>
      <c r="H99" s="4"/>
      <c r="I99" s="4"/>
      <c r="J99" s="4"/>
      <c r="K99" s="4">
        <v>43735</v>
      </c>
      <c r="L99" s="49" t="s">
        <v>1350</v>
      </c>
      <c r="M99" s="31">
        <f>1869756+1580749+2046310.47</f>
        <v>5496815.4699999997</v>
      </c>
      <c r="N99" s="32">
        <v>3</v>
      </c>
      <c r="O99" s="47" t="s">
        <v>1351</v>
      </c>
      <c r="P99" s="89">
        <v>1800000</v>
      </c>
      <c r="Q99" s="4">
        <v>43752</v>
      </c>
      <c r="R99" s="90" t="s">
        <v>273</v>
      </c>
      <c r="S99" s="90" t="s">
        <v>1352</v>
      </c>
      <c r="T99" s="90"/>
      <c r="U99" s="90"/>
      <c r="V99" s="33" t="s">
        <v>926</v>
      </c>
      <c r="W99" s="33" t="s">
        <v>24</v>
      </c>
      <c r="X99" s="53"/>
    </row>
    <row r="100" spans="1:25" x14ac:dyDescent="0.2">
      <c r="A100" s="2" t="s">
        <v>1353</v>
      </c>
      <c r="B100" s="138" t="s">
        <v>1354</v>
      </c>
      <c r="C100" s="4" t="s">
        <v>73</v>
      </c>
      <c r="D100" s="44" t="s">
        <v>73</v>
      </c>
      <c r="E100" s="3" t="s">
        <v>86</v>
      </c>
      <c r="F100" s="4" t="s">
        <v>86</v>
      </c>
      <c r="G100" s="49"/>
      <c r="H100" s="4"/>
      <c r="I100" s="4"/>
      <c r="J100" s="4"/>
      <c r="K100" s="4" t="s">
        <v>86</v>
      </c>
      <c r="L100" s="33" t="s">
        <v>86</v>
      </c>
      <c r="M100" s="31">
        <v>109577.2</v>
      </c>
      <c r="N100" s="32">
        <v>1</v>
      </c>
      <c r="O100" s="47" t="s">
        <v>1355</v>
      </c>
      <c r="P100" s="89">
        <v>109577.2</v>
      </c>
      <c r="Q100" s="4">
        <v>43731</v>
      </c>
      <c r="R100" s="90" t="s">
        <v>370</v>
      </c>
      <c r="S100" s="90"/>
      <c r="T100" s="90"/>
      <c r="U100" s="90"/>
      <c r="V100" s="33" t="s">
        <v>931</v>
      </c>
      <c r="W100" s="33" t="s">
        <v>22</v>
      </c>
      <c r="X100" s="53" t="s">
        <v>656</v>
      </c>
    </row>
    <row r="101" spans="1:25" ht="22.5" x14ac:dyDescent="0.2">
      <c r="A101" s="2" t="s">
        <v>1356</v>
      </c>
      <c r="B101" s="138" t="s">
        <v>1357</v>
      </c>
      <c r="C101" s="4" t="s">
        <v>73</v>
      </c>
      <c r="D101" s="44" t="s">
        <v>73</v>
      </c>
      <c r="E101" s="3" t="s">
        <v>86</v>
      </c>
      <c r="F101" s="4" t="s">
        <v>86</v>
      </c>
      <c r="G101" s="4"/>
      <c r="H101" s="4"/>
      <c r="I101" s="4"/>
      <c r="J101" s="4"/>
      <c r="K101" s="4" t="s">
        <v>86</v>
      </c>
      <c r="L101" s="33" t="s">
        <v>86</v>
      </c>
      <c r="M101" s="31">
        <v>77381.399999999994</v>
      </c>
      <c r="N101" s="32">
        <v>1</v>
      </c>
      <c r="O101" s="47" t="s">
        <v>1358</v>
      </c>
      <c r="P101" s="89">
        <v>77381.399999999994</v>
      </c>
      <c r="Q101" s="4">
        <v>43731</v>
      </c>
      <c r="R101" s="90" t="s">
        <v>1359</v>
      </c>
      <c r="S101" s="90"/>
      <c r="T101" s="90"/>
      <c r="U101" s="90"/>
      <c r="V101" s="33" t="s">
        <v>931</v>
      </c>
      <c r="W101" s="33" t="s">
        <v>22</v>
      </c>
      <c r="X101" s="53" t="s">
        <v>1360</v>
      </c>
    </row>
    <row r="102" spans="1:25" ht="12" thickBot="1" x14ac:dyDescent="0.25">
      <c r="A102" s="7"/>
      <c r="B102" s="15"/>
      <c r="C102" s="8"/>
      <c r="D102" s="8"/>
      <c r="E102" s="9"/>
      <c r="F102" s="8"/>
      <c r="G102" s="8"/>
      <c r="H102" s="8"/>
      <c r="I102" s="8"/>
      <c r="J102" s="8"/>
      <c r="K102" s="8"/>
      <c r="L102" s="36"/>
      <c r="M102" s="34"/>
      <c r="N102" s="35"/>
      <c r="O102" s="8"/>
      <c r="P102" s="57"/>
      <c r="Q102" s="8"/>
      <c r="R102" s="39"/>
      <c r="S102" s="39"/>
      <c r="T102" s="39"/>
      <c r="U102" s="39"/>
      <c r="V102" s="36"/>
      <c r="W102" s="36"/>
      <c r="X102" s="54"/>
    </row>
    <row r="103" spans="1:25" x14ac:dyDescent="0.2">
      <c r="A103" s="45"/>
      <c r="B103" s="16"/>
      <c r="C103" s="99"/>
      <c r="D103" s="45"/>
      <c r="E103" s="6"/>
      <c r="F103" s="99"/>
      <c r="G103" s="99"/>
      <c r="H103" s="99"/>
      <c r="I103" s="99"/>
      <c r="J103" s="99"/>
      <c r="K103" s="99"/>
      <c r="L103" s="27"/>
      <c r="M103" s="27"/>
      <c r="N103" s="27"/>
      <c r="O103" s="99"/>
      <c r="P103" s="100"/>
      <c r="Q103" s="99"/>
      <c r="R103" s="101"/>
      <c r="S103" s="101"/>
      <c r="T103" s="101"/>
      <c r="U103" s="101"/>
      <c r="V103" s="27"/>
      <c r="W103" s="27"/>
      <c r="X103" s="23"/>
    </row>
    <row r="104" spans="1:25" x14ac:dyDescent="0.2">
      <c r="A104" s="10" t="s">
        <v>8</v>
      </c>
      <c r="B104" s="14" t="s">
        <v>8</v>
      </c>
      <c r="C104" s="1" t="s">
        <v>8</v>
      </c>
      <c r="L104" s="28" t="s">
        <v>25</v>
      </c>
      <c r="M104" s="29">
        <f>SUM(M16:M102)</f>
        <v>76734575.200000003</v>
      </c>
      <c r="N104" s="1"/>
      <c r="O104" s="24" t="s">
        <v>46</v>
      </c>
      <c r="P104" s="25">
        <f>SUM(P15:P102)</f>
        <v>26446913.629999995</v>
      </c>
      <c r="Q104" s="6"/>
      <c r="R104" s="12"/>
      <c r="S104" s="12"/>
      <c r="T104" s="12"/>
      <c r="U104" s="12"/>
      <c r="V104" s="26"/>
      <c r="W104" s="26"/>
    </row>
    <row r="105" spans="1:25" ht="12.75" x14ac:dyDescent="0.2">
      <c r="A105" s="38" t="s">
        <v>62</v>
      </c>
      <c r="B105" s="14"/>
      <c r="N105" s="1"/>
      <c r="O105" s="11"/>
      <c r="P105" s="71" t="s">
        <v>68</v>
      </c>
      <c r="Q105" s="71" t="s">
        <v>69</v>
      </c>
      <c r="R105" s="12"/>
      <c r="S105" s="12"/>
      <c r="T105" s="12"/>
      <c r="U105" s="12"/>
    </row>
    <row r="106" spans="1:25" x14ac:dyDescent="0.2">
      <c r="A106" s="10"/>
      <c r="B106" s="14"/>
      <c r="N106" s="1"/>
      <c r="O106" s="28" t="s">
        <v>22</v>
      </c>
      <c r="P106" s="30">
        <f>SUMIF(W16:W102,"GOODS",$P$16:$P$102)</f>
        <v>10457394.589999998</v>
      </c>
      <c r="Q106" s="73">
        <f>COUNTIFS(W15:W102,"GOODS",$P$15:$P$102,"&gt;=1")</f>
        <v>47</v>
      </c>
      <c r="R106" s="12"/>
      <c r="S106" s="12"/>
      <c r="T106" s="12"/>
      <c r="U106" s="12"/>
    </row>
    <row r="107" spans="1:25" x14ac:dyDescent="0.2">
      <c r="A107" s="10"/>
      <c r="B107" s="14"/>
      <c r="N107" s="1"/>
      <c r="O107" s="28" t="s">
        <v>23</v>
      </c>
      <c r="P107" s="30">
        <f>SUMIF(W16:W102,"SERVICES",$P$16:$P$102)</f>
        <v>2919481.58</v>
      </c>
      <c r="Q107" s="73">
        <f>COUNTIFS(W15:W102,"SERVICES",$P$15:$P$102,"&gt;=1")</f>
        <v>12</v>
      </c>
      <c r="R107" s="12"/>
      <c r="S107" s="12"/>
      <c r="T107" s="12"/>
      <c r="U107" s="12"/>
    </row>
    <row r="108" spans="1:25" x14ac:dyDescent="0.2">
      <c r="A108" s="10"/>
      <c r="B108" s="14"/>
      <c r="N108" s="1"/>
      <c r="O108" s="28" t="s">
        <v>24</v>
      </c>
      <c r="P108" s="70">
        <f>SUMIF(W16:W102,"CONSTRUCTION",$P$16:$P$102)</f>
        <v>13070037.460000001</v>
      </c>
      <c r="Q108" s="69">
        <f>COUNTIFS(W15:W102,"CONSTRUCTION",$P$15:$P$102,"&gt;=1")</f>
        <v>21</v>
      </c>
      <c r="R108" s="12"/>
      <c r="S108" s="12"/>
      <c r="T108" s="12"/>
      <c r="U108" s="12"/>
    </row>
    <row r="109" spans="1:25" x14ac:dyDescent="0.2">
      <c r="A109" s="10"/>
      <c r="B109" s="14"/>
      <c r="K109" s="11"/>
      <c r="O109" s="6"/>
      <c r="P109" s="75">
        <f>SUM(P106:P108)</f>
        <v>26446913.629999999</v>
      </c>
      <c r="Q109" s="76">
        <f>SUM(Q106:Q108)</f>
        <v>80</v>
      </c>
      <c r="R109" s="12"/>
      <c r="S109" s="12"/>
      <c r="T109" s="12"/>
      <c r="U109" s="12"/>
    </row>
    <row r="110" spans="1:25" ht="15.75" x14ac:dyDescent="0.25">
      <c r="A110" s="88" t="s">
        <v>32</v>
      </c>
      <c r="B110" s="88"/>
      <c r="L110" s="1"/>
      <c r="M110" s="1"/>
      <c r="O110" s="6"/>
      <c r="Q110" s="6"/>
      <c r="R110" s="12"/>
      <c r="S110" s="12"/>
      <c r="T110" s="12"/>
      <c r="U110" s="12"/>
    </row>
    <row r="111" spans="1:25" ht="15.75" x14ac:dyDescent="0.25">
      <c r="A111" s="88" t="s">
        <v>917</v>
      </c>
      <c r="B111" s="88"/>
      <c r="C111" s="88"/>
      <c r="D111" s="102"/>
      <c r="L111" s="1"/>
      <c r="M111" s="1"/>
      <c r="N111" s="1"/>
      <c r="P111" s="14"/>
      <c r="Q111" s="6"/>
      <c r="R111" s="6"/>
      <c r="S111" s="6"/>
      <c r="T111" s="12"/>
      <c r="U111" s="12"/>
      <c r="V111" s="12"/>
      <c r="Y111" s="14"/>
    </row>
    <row r="112" spans="1:25" ht="12" thickBot="1" x14ac:dyDescent="0.25">
      <c r="T112" s="14"/>
      <c r="U112" s="14"/>
      <c r="V112" s="23"/>
      <c r="W112" s="1"/>
      <c r="X112" s="1"/>
    </row>
    <row r="113" spans="1:31" ht="11.85" customHeight="1" x14ac:dyDescent="0.2">
      <c r="A113" s="17"/>
      <c r="B113" s="17"/>
      <c r="C113" s="17"/>
      <c r="D113" s="41"/>
      <c r="E113" s="17"/>
      <c r="F113" s="17"/>
      <c r="G113" s="17"/>
      <c r="H113" s="17"/>
      <c r="I113" s="17"/>
      <c r="J113" s="17"/>
      <c r="K113" s="18" t="s">
        <v>10</v>
      </c>
      <c r="L113" s="18"/>
      <c r="M113" s="18" t="s">
        <v>53</v>
      </c>
      <c r="N113" s="18" t="s">
        <v>47</v>
      </c>
      <c r="O113" s="17"/>
      <c r="P113" s="17"/>
      <c r="Q113" s="210"/>
      <c r="R113" s="211"/>
      <c r="S113" s="132"/>
      <c r="T113" s="18"/>
      <c r="U113" s="18"/>
      <c r="V113" s="210"/>
      <c r="W113" s="211"/>
      <c r="X113" s="1"/>
    </row>
    <row r="114" spans="1:31" ht="11.85" customHeight="1" x14ac:dyDescent="0.2">
      <c r="A114" s="19" t="s">
        <v>0</v>
      </c>
      <c r="B114" s="19" t="s">
        <v>1</v>
      </c>
      <c r="C114" s="19" t="s">
        <v>0</v>
      </c>
      <c r="D114" s="42" t="s">
        <v>39</v>
      </c>
      <c r="E114" s="19" t="s">
        <v>2</v>
      </c>
      <c r="F114" s="19" t="s">
        <v>0</v>
      </c>
      <c r="G114" s="19" t="s">
        <v>41</v>
      </c>
      <c r="H114" s="19" t="s">
        <v>41</v>
      </c>
      <c r="I114" s="19" t="s">
        <v>41</v>
      </c>
      <c r="J114" s="19" t="s">
        <v>41</v>
      </c>
      <c r="K114" s="19" t="s">
        <v>3</v>
      </c>
      <c r="L114" s="19" t="s">
        <v>51</v>
      </c>
      <c r="M114" s="19" t="s">
        <v>54</v>
      </c>
      <c r="N114" s="19" t="s">
        <v>50</v>
      </c>
      <c r="O114" s="19" t="s">
        <v>4</v>
      </c>
      <c r="P114" s="19" t="s">
        <v>4</v>
      </c>
      <c r="Q114" s="212" t="s">
        <v>14</v>
      </c>
      <c r="R114" s="213"/>
      <c r="S114" s="133" t="s">
        <v>15</v>
      </c>
      <c r="T114" s="19" t="s">
        <v>21</v>
      </c>
      <c r="U114" s="19" t="s">
        <v>26</v>
      </c>
      <c r="V114" s="212" t="s">
        <v>65</v>
      </c>
      <c r="W114" s="213"/>
      <c r="X114" s="1"/>
    </row>
    <row r="115" spans="1:31" ht="11.85" customHeight="1" x14ac:dyDescent="0.2">
      <c r="A115" s="19" t="s">
        <v>5</v>
      </c>
      <c r="B115" s="19"/>
      <c r="C115" s="19" t="s">
        <v>39</v>
      </c>
      <c r="D115" s="42" t="s">
        <v>40</v>
      </c>
      <c r="E115" s="19" t="s">
        <v>7</v>
      </c>
      <c r="F115" s="19" t="s">
        <v>64</v>
      </c>
      <c r="G115" s="19" t="s">
        <v>42</v>
      </c>
      <c r="H115" s="19" t="s">
        <v>43</v>
      </c>
      <c r="I115" s="19" t="s">
        <v>44</v>
      </c>
      <c r="J115" s="19" t="s">
        <v>45</v>
      </c>
      <c r="K115" s="19" t="s">
        <v>6</v>
      </c>
      <c r="L115" s="19" t="s">
        <v>36</v>
      </c>
      <c r="M115" s="19" t="s">
        <v>13</v>
      </c>
      <c r="N115" s="19" t="s">
        <v>13</v>
      </c>
      <c r="O115" s="19" t="s">
        <v>9</v>
      </c>
      <c r="P115" s="19" t="s">
        <v>6</v>
      </c>
      <c r="Q115" s="212"/>
      <c r="R115" s="213"/>
      <c r="S115" s="133"/>
      <c r="T115" s="19" t="s">
        <v>28</v>
      </c>
      <c r="U115" s="19" t="s">
        <v>27</v>
      </c>
      <c r="V115" s="212"/>
      <c r="W115" s="213"/>
      <c r="X115" s="1"/>
    </row>
    <row r="116" spans="1:31" ht="2.25" customHeight="1" thickBot="1" x14ac:dyDescent="0.25">
      <c r="A116" s="21"/>
      <c r="B116" s="20"/>
      <c r="C116" s="22"/>
      <c r="D116" s="43"/>
      <c r="E116" s="20"/>
      <c r="F116" s="22"/>
      <c r="G116" s="22"/>
      <c r="H116" s="22"/>
      <c r="I116" s="22"/>
      <c r="J116" s="22"/>
      <c r="K116" s="20"/>
      <c r="L116" s="20"/>
      <c r="M116" s="20"/>
      <c r="N116" s="20"/>
      <c r="O116" s="20"/>
      <c r="P116" s="20"/>
      <c r="Q116" s="214"/>
      <c r="R116" s="215"/>
      <c r="S116" s="134"/>
      <c r="T116" s="20"/>
      <c r="U116" s="20"/>
      <c r="V116" s="214"/>
      <c r="W116" s="215"/>
      <c r="X116" s="1"/>
    </row>
    <row r="117" spans="1:31" x14ac:dyDescent="0.2">
      <c r="A117" s="2" t="s">
        <v>1361</v>
      </c>
      <c r="B117" s="93" t="s">
        <v>1362</v>
      </c>
      <c r="C117" s="4" t="s">
        <v>73</v>
      </c>
      <c r="D117" s="2" t="s">
        <v>73</v>
      </c>
      <c r="E117" s="4" t="s">
        <v>73</v>
      </c>
      <c r="F117" s="47" t="s">
        <v>1363</v>
      </c>
      <c r="G117" s="4"/>
      <c r="H117" s="4"/>
      <c r="I117" s="4"/>
      <c r="J117" s="4"/>
      <c r="K117" s="4">
        <v>43405</v>
      </c>
      <c r="L117" s="47" t="s">
        <v>1364</v>
      </c>
      <c r="M117" s="67">
        <f>15000*N117</f>
        <v>30000</v>
      </c>
      <c r="N117" s="65">
        <v>2</v>
      </c>
      <c r="O117" s="58">
        <v>15000</v>
      </c>
      <c r="P117" s="4">
        <v>43413</v>
      </c>
      <c r="Q117" s="216" t="s">
        <v>1365</v>
      </c>
      <c r="R117" s="217"/>
      <c r="S117" s="135"/>
      <c r="T117" s="63" t="s">
        <v>926</v>
      </c>
      <c r="U117" s="63" t="s">
        <v>22</v>
      </c>
      <c r="V117" s="218"/>
      <c r="W117" s="219"/>
      <c r="X117" s="1"/>
      <c r="Y117" s="6"/>
      <c r="Z117" s="12"/>
      <c r="AA117" s="12"/>
      <c r="AB117" s="12"/>
      <c r="AC117" s="14"/>
      <c r="AD117" s="14"/>
      <c r="AE117" s="14"/>
    </row>
    <row r="118" spans="1:31" x14ac:dyDescent="0.2">
      <c r="A118" s="2" t="s">
        <v>1366</v>
      </c>
      <c r="B118" s="93" t="s">
        <v>1367</v>
      </c>
      <c r="C118" s="4" t="s">
        <v>73</v>
      </c>
      <c r="D118" s="2" t="s">
        <v>73</v>
      </c>
      <c r="E118" s="4" t="s">
        <v>73</v>
      </c>
      <c r="F118" s="47" t="s">
        <v>1368</v>
      </c>
      <c r="G118" s="47"/>
      <c r="H118" s="4"/>
      <c r="I118" s="4"/>
      <c r="J118" s="4"/>
      <c r="K118" s="4">
        <v>43431</v>
      </c>
      <c r="L118" s="47" t="s">
        <v>1369</v>
      </c>
      <c r="M118" s="79">
        <v>28180</v>
      </c>
      <c r="N118" s="65">
        <v>1</v>
      </c>
      <c r="O118" s="59">
        <v>28180</v>
      </c>
      <c r="P118" s="4">
        <v>43437</v>
      </c>
      <c r="Q118" s="216" t="s">
        <v>1370</v>
      </c>
      <c r="R118" s="217"/>
      <c r="S118" s="135"/>
      <c r="T118" s="63" t="s">
        <v>926</v>
      </c>
      <c r="U118" s="63" t="s">
        <v>22</v>
      </c>
      <c r="V118" s="220" t="s">
        <v>1371</v>
      </c>
      <c r="W118" s="221"/>
      <c r="X118" s="1"/>
      <c r="Y118" s="6"/>
      <c r="Z118" s="12"/>
      <c r="AA118" s="12"/>
      <c r="AB118" s="12"/>
      <c r="AC118" s="14"/>
      <c r="AD118" s="14"/>
      <c r="AE118" s="14"/>
    </row>
    <row r="119" spans="1:31" x14ac:dyDescent="0.2">
      <c r="A119" s="2" t="s">
        <v>1372</v>
      </c>
      <c r="B119" s="93" t="s">
        <v>1373</v>
      </c>
      <c r="C119" s="4" t="s">
        <v>73</v>
      </c>
      <c r="D119" s="2" t="s">
        <v>73</v>
      </c>
      <c r="E119" s="4" t="s">
        <v>73</v>
      </c>
      <c r="F119" s="47" t="s">
        <v>1374</v>
      </c>
      <c r="G119" s="4"/>
      <c r="H119" s="4"/>
      <c r="I119" s="4"/>
      <c r="J119" s="4"/>
      <c r="K119" s="4">
        <v>43412</v>
      </c>
      <c r="L119" s="47" t="s">
        <v>1375</v>
      </c>
      <c r="M119" s="67">
        <v>31060</v>
      </c>
      <c r="N119" s="65">
        <v>1</v>
      </c>
      <c r="O119" s="59">
        <v>30000</v>
      </c>
      <c r="P119" s="4">
        <v>43433</v>
      </c>
      <c r="Q119" s="216" t="s">
        <v>1376</v>
      </c>
      <c r="R119" s="217"/>
      <c r="S119" s="135"/>
      <c r="T119" s="63" t="s">
        <v>926</v>
      </c>
      <c r="U119" s="63" t="s">
        <v>23</v>
      </c>
      <c r="V119" s="220"/>
      <c r="W119" s="221"/>
      <c r="X119" s="1"/>
      <c r="Y119" s="6"/>
      <c r="Z119" s="12"/>
      <c r="AA119" s="12"/>
      <c r="AB119" s="12"/>
      <c r="AC119" s="14"/>
      <c r="AD119" s="14"/>
      <c r="AE119" s="14"/>
    </row>
    <row r="120" spans="1:31" x14ac:dyDescent="0.2">
      <c r="A120" s="2" t="s">
        <v>1377</v>
      </c>
      <c r="B120" s="93" t="s">
        <v>1378</v>
      </c>
      <c r="C120" s="3" t="s">
        <v>73</v>
      </c>
      <c r="D120" s="45" t="s">
        <v>73</v>
      </c>
      <c r="E120" s="4" t="s">
        <v>73</v>
      </c>
      <c r="F120" s="47" t="s">
        <v>1379</v>
      </c>
      <c r="G120" s="4"/>
      <c r="H120" s="4"/>
      <c r="I120" s="4"/>
      <c r="J120" s="4"/>
      <c r="K120" s="4">
        <v>43531</v>
      </c>
      <c r="L120" s="5" t="s">
        <v>86</v>
      </c>
      <c r="M120" s="67">
        <v>0</v>
      </c>
      <c r="N120" s="65">
        <v>0</v>
      </c>
      <c r="O120" s="59"/>
      <c r="P120" s="4"/>
      <c r="Q120" s="216"/>
      <c r="R120" s="217"/>
      <c r="S120" s="135"/>
      <c r="T120" s="63" t="s">
        <v>926</v>
      </c>
      <c r="U120" s="63" t="s">
        <v>23</v>
      </c>
      <c r="V120" s="220"/>
      <c r="W120" s="221"/>
      <c r="X120" s="1"/>
      <c r="Y120" s="6"/>
      <c r="Z120" s="12"/>
      <c r="AA120" s="12"/>
      <c r="AB120" s="12"/>
      <c r="AC120" s="14"/>
      <c r="AD120" s="14"/>
      <c r="AE120" s="14"/>
    </row>
    <row r="121" spans="1:31" x14ac:dyDescent="0.2">
      <c r="A121" s="2" t="s">
        <v>1380</v>
      </c>
      <c r="B121" s="93" t="s">
        <v>1381</v>
      </c>
      <c r="C121" s="3" t="s">
        <v>73</v>
      </c>
      <c r="D121" s="45" t="s">
        <v>73</v>
      </c>
      <c r="E121" s="4" t="s">
        <v>73</v>
      </c>
      <c r="F121" s="47" t="s">
        <v>1382</v>
      </c>
      <c r="G121" s="47"/>
      <c r="H121" s="4"/>
      <c r="I121" s="4"/>
      <c r="J121" s="4"/>
      <c r="K121" s="4">
        <v>43559</v>
      </c>
      <c r="L121" s="47" t="s">
        <v>1383</v>
      </c>
      <c r="M121" s="67">
        <v>44220</v>
      </c>
      <c r="N121" s="65">
        <v>1</v>
      </c>
      <c r="O121" s="59">
        <v>18000</v>
      </c>
      <c r="P121" s="4">
        <v>43573</v>
      </c>
      <c r="Q121" s="216" t="s">
        <v>1384</v>
      </c>
      <c r="R121" s="217"/>
      <c r="S121" s="135"/>
      <c r="T121" s="63" t="s">
        <v>926</v>
      </c>
      <c r="U121" s="63" t="s">
        <v>23</v>
      </c>
      <c r="V121" s="220" t="s">
        <v>1385</v>
      </c>
      <c r="W121" s="221"/>
      <c r="X121" s="1"/>
      <c r="Y121" s="6"/>
      <c r="Z121" s="12"/>
      <c r="AA121" s="12"/>
      <c r="AB121" s="12"/>
      <c r="AC121" s="14"/>
      <c r="AD121" s="14"/>
      <c r="AE121" s="14"/>
    </row>
    <row r="122" spans="1:31" x14ac:dyDescent="0.2">
      <c r="A122" s="2" t="s">
        <v>1386</v>
      </c>
      <c r="B122" s="93" t="s">
        <v>1387</v>
      </c>
      <c r="C122" s="3" t="s">
        <v>73</v>
      </c>
      <c r="D122" s="45" t="s">
        <v>73</v>
      </c>
      <c r="E122" s="4" t="s">
        <v>73</v>
      </c>
      <c r="F122" s="47"/>
      <c r="G122" s="4"/>
      <c r="H122" s="4"/>
      <c r="I122" s="4"/>
      <c r="J122" s="4"/>
      <c r="K122" s="4">
        <v>43700</v>
      </c>
      <c r="L122" s="5" t="s">
        <v>86</v>
      </c>
      <c r="M122" s="67">
        <v>49991</v>
      </c>
      <c r="N122" s="65">
        <v>1</v>
      </c>
      <c r="O122" s="59">
        <v>49991</v>
      </c>
      <c r="P122" s="4">
        <v>43747</v>
      </c>
      <c r="Q122" s="216" t="s">
        <v>1388</v>
      </c>
      <c r="R122" s="217"/>
      <c r="S122" s="135"/>
      <c r="T122" s="63" t="s">
        <v>931</v>
      </c>
      <c r="U122" s="63" t="s">
        <v>24</v>
      </c>
      <c r="V122" s="220"/>
      <c r="W122" s="221"/>
      <c r="X122" s="1"/>
      <c r="Y122" s="6"/>
      <c r="Z122" s="12"/>
      <c r="AA122" s="12"/>
      <c r="AB122" s="12"/>
      <c r="AC122" s="14"/>
      <c r="AD122" s="14"/>
      <c r="AE122" s="14"/>
    </row>
    <row r="123" spans="1:31" x14ac:dyDescent="0.2">
      <c r="A123" s="2" t="s">
        <v>1389</v>
      </c>
      <c r="B123" s="93" t="s">
        <v>1390</v>
      </c>
      <c r="C123" s="3"/>
      <c r="D123" s="45"/>
      <c r="E123" s="4"/>
      <c r="F123" s="47"/>
      <c r="G123" s="4"/>
      <c r="H123" s="4"/>
      <c r="I123" s="4"/>
      <c r="J123" s="4"/>
      <c r="K123" s="4"/>
      <c r="L123" s="47"/>
      <c r="M123" s="67"/>
      <c r="N123" s="65"/>
      <c r="O123" s="59"/>
      <c r="P123" s="4"/>
      <c r="Q123" s="216"/>
      <c r="R123" s="217"/>
      <c r="S123" s="135"/>
      <c r="T123" s="63"/>
      <c r="U123" s="63"/>
      <c r="V123" s="220"/>
      <c r="W123" s="221"/>
      <c r="X123" s="1"/>
      <c r="Y123" s="6"/>
      <c r="Z123" s="12"/>
      <c r="AA123" s="12"/>
      <c r="AB123" s="12"/>
      <c r="AC123" s="14"/>
      <c r="AD123" s="14"/>
      <c r="AE123" s="14"/>
    </row>
    <row r="124" spans="1:31" x14ac:dyDescent="0.2">
      <c r="A124" s="2" t="s">
        <v>1391</v>
      </c>
      <c r="B124" s="93" t="s">
        <v>1392</v>
      </c>
      <c r="C124" s="3" t="s">
        <v>73</v>
      </c>
      <c r="D124" s="45" t="s">
        <v>73</v>
      </c>
      <c r="E124" s="4" t="s">
        <v>73</v>
      </c>
      <c r="F124" s="49" t="s">
        <v>1393</v>
      </c>
      <c r="G124" s="49" t="s">
        <v>1394</v>
      </c>
      <c r="H124" s="5"/>
      <c r="I124" s="5"/>
      <c r="J124" s="5"/>
      <c r="K124" s="5">
        <v>43713</v>
      </c>
      <c r="L124" s="181" t="s">
        <v>1395</v>
      </c>
      <c r="M124" s="67">
        <f>25000*N124</f>
        <v>100000</v>
      </c>
      <c r="N124" s="65">
        <v>4</v>
      </c>
      <c r="O124" s="59"/>
      <c r="P124" s="4"/>
      <c r="Q124" s="216"/>
      <c r="R124" s="217"/>
      <c r="S124" s="135"/>
      <c r="T124" s="63" t="s">
        <v>926</v>
      </c>
      <c r="U124" s="63" t="s">
        <v>22</v>
      </c>
      <c r="V124" s="220"/>
      <c r="W124" s="221"/>
      <c r="X124" s="1"/>
      <c r="Y124" s="6"/>
      <c r="Z124" s="12"/>
      <c r="AA124" s="12"/>
      <c r="AB124" s="12"/>
      <c r="AC124" s="14"/>
      <c r="AD124" s="14"/>
      <c r="AE124" s="14"/>
    </row>
    <row r="125" spans="1:31" ht="12" thickBot="1" x14ac:dyDescent="0.25">
      <c r="A125" s="40"/>
      <c r="B125" s="137"/>
      <c r="C125" s="9"/>
      <c r="D125" s="77"/>
      <c r="E125" s="8"/>
      <c r="F125" s="8"/>
      <c r="G125" s="8"/>
      <c r="H125" s="8"/>
      <c r="I125" s="8"/>
      <c r="J125" s="8"/>
      <c r="K125" s="8"/>
      <c r="L125" s="8"/>
      <c r="M125" s="106"/>
      <c r="N125" s="9"/>
      <c r="O125" s="60"/>
      <c r="P125" s="8"/>
      <c r="Q125" s="224"/>
      <c r="R125" s="225"/>
      <c r="S125" s="136"/>
      <c r="T125" s="9"/>
      <c r="U125" s="9"/>
      <c r="V125" s="226"/>
      <c r="W125" s="227"/>
      <c r="X125" s="1"/>
      <c r="Y125" s="6"/>
      <c r="Z125" s="12"/>
      <c r="AA125" s="12"/>
      <c r="AB125" s="12"/>
      <c r="AC125" s="14"/>
      <c r="AD125" s="14"/>
      <c r="AE125" s="14"/>
    </row>
    <row r="126" spans="1:31" x14ac:dyDescent="0.2">
      <c r="A126" s="10"/>
      <c r="K126" s="11"/>
      <c r="L126" s="11"/>
      <c r="M126" s="1"/>
      <c r="N126" s="13"/>
      <c r="U126" s="14"/>
      <c r="V126" s="6"/>
      <c r="W126" s="1"/>
      <c r="X126" s="6"/>
      <c r="Y126" s="12"/>
      <c r="Z126" s="12"/>
      <c r="AA126" s="12"/>
      <c r="AB126" s="14"/>
      <c r="AC126" s="14"/>
      <c r="AD126" s="14"/>
    </row>
    <row r="127" spans="1:31" x14ac:dyDescent="0.2">
      <c r="A127" s="10"/>
      <c r="C127" s="11"/>
      <c r="E127" s="11"/>
      <c r="F127" s="11"/>
      <c r="G127" s="11"/>
      <c r="H127" s="11"/>
      <c r="I127" s="11"/>
      <c r="L127" s="28" t="s">
        <v>25</v>
      </c>
      <c r="M127" s="29">
        <f>SUM(M117:M125)</f>
        <v>283451</v>
      </c>
      <c r="N127" s="24" t="s">
        <v>46</v>
      </c>
      <c r="O127" s="25">
        <f>SUM(O117:O125)</f>
        <v>141171</v>
      </c>
      <c r="W127" s="6"/>
      <c r="X127" s="1"/>
      <c r="Y127" s="6"/>
      <c r="Z127" s="12"/>
      <c r="AA127" s="12"/>
      <c r="AB127" s="12"/>
      <c r="AC127" s="14"/>
      <c r="AD127" s="14"/>
      <c r="AE127" s="14"/>
    </row>
    <row r="128" spans="1:31" ht="12.75" x14ac:dyDescent="0.2">
      <c r="A128" s="38" t="s">
        <v>62</v>
      </c>
      <c r="K128" s="11"/>
      <c r="L128" s="11"/>
      <c r="M128" s="11"/>
      <c r="N128" s="11"/>
      <c r="O128" s="71" t="s">
        <v>68</v>
      </c>
      <c r="P128" s="71" t="s">
        <v>69</v>
      </c>
      <c r="W128" s="6"/>
      <c r="X128" s="1"/>
      <c r="Y128" s="6"/>
      <c r="Z128" s="12"/>
      <c r="AA128" s="12"/>
      <c r="AB128" s="12"/>
      <c r="AC128" s="14"/>
      <c r="AD128" s="14"/>
      <c r="AE128" s="14"/>
    </row>
    <row r="129" spans="1:32" x14ac:dyDescent="0.2">
      <c r="A129" s="10"/>
      <c r="L129" s="28"/>
      <c r="M129" s="28"/>
      <c r="N129" s="28" t="s">
        <v>22</v>
      </c>
      <c r="O129" s="30">
        <f>SUMIF(U116:U125,"GOODS",$O$116:$O$125)</f>
        <v>43180</v>
      </c>
      <c r="P129" s="73">
        <f>COUNTIFS(U116:U125,"GOODS",$O$116:$O$125,"&gt;=1")</f>
        <v>2</v>
      </c>
      <c r="W129" s="6"/>
      <c r="X129" s="1"/>
      <c r="Y129" s="6"/>
      <c r="Z129" s="12"/>
      <c r="AA129" s="12"/>
      <c r="AB129" s="12"/>
      <c r="AC129" s="14"/>
      <c r="AD129" s="14"/>
      <c r="AE129" s="14"/>
    </row>
    <row r="130" spans="1:32" x14ac:dyDescent="0.2">
      <c r="A130" s="10"/>
      <c r="L130" s="28"/>
      <c r="M130" s="28"/>
      <c r="N130" s="28" t="s">
        <v>23</v>
      </c>
      <c r="O130" s="30">
        <f>SUMIF(U116:U125,"SERVICES",$O$116:$O$125)</f>
        <v>48000</v>
      </c>
      <c r="P130" s="73">
        <f>COUNTIFS(U116:U125,"SERVICES",$O$116:$O$125,"&gt;=1")</f>
        <v>2</v>
      </c>
      <c r="V130" s="1"/>
      <c r="X130" s="6"/>
      <c r="Z130" s="6"/>
      <c r="AA130" s="12"/>
      <c r="AB130" s="12"/>
      <c r="AC130" s="12"/>
      <c r="AD130" s="14"/>
      <c r="AE130" s="14"/>
      <c r="AF130" s="14"/>
    </row>
    <row r="131" spans="1:32" x14ac:dyDescent="0.2">
      <c r="A131" s="10"/>
      <c r="L131" s="28"/>
      <c r="M131" s="28"/>
      <c r="N131" s="28" t="s">
        <v>24</v>
      </c>
      <c r="O131" s="30">
        <f>SUMIF(U116:U125,"CONSTRUCTION",$O$116:$O$125)</f>
        <v>49991</v>
      </c>
      <c r="P131" s="73">
        <f>COUNTIFS(U116:U125,"CONSTRUCTION",$O$116:$O$125,"&gt;=1")</f>
        <v>1</v>
      </c>
      <c r="V131" s="1"/>
      <c r="X131" s="6"/>
      <c r="Z131" s="6"/>
      <c r="AA131" s="12"/>
      <c r="AB131" s="12"/>
      <c r="AC131" s="12"/>
      <c r="AD131" s="14"/>
      <c r="AE131" s="14"/>
      <c r="AF131" s="14"/>
    </row>
    <row r="132" spans="1:32" x14ac:dyDescent="0.2">
      <c r="A132" s="10"/>
      <c r="B132" s="14"/>
      <c r="C132" s="14"/>
      <c r="D132" s="46"/>
      <c r="L132" s="1"/>
      <c r="M132" s="1"/>
      <c r="N132" s="1"/>
      <c r="O132" s="74">
        <f>SUM(O129:O131)</f>
        <v>141171</v>
      </c>
      <c r="P132" s="72">
        <f>SUM(P129:P131)</f>
        <v>5</v>
      </c>
      <c r="U132" s="14"/>
      <c r="X132" s="6"/>
      <c r="Z132" s="6"/>
      <c r="AA132" s="12"/>
      <c r="AB132" s="12"/>
      <c r="AC132" s="12"/>
      <c r="AD132" s="14"/>
      <c r="AE132" s="14"/>
      <c r="AF132" s="14"/>
    </row>
    <row r="133" spans="1:32" ht="15.75" x14ac:dyDescent="0.25">
      <c r="A133" s="88" t="s">
        <v>31</v>
      </c>
      <c r="B133" s="88"/>
      <c r="L133" s="1"/>
      <c r="M133" s="1"/>
      <c r="N133" s="1"/>
      <c r="V133" s="1"/>
      <c r="W133" s="1"/>
      <c r="X133" s="1"/>
      <c r="Y133" s="12"/>
      <c r="Z133" s="12"/>
      <c r="AA133" s="14"/>
      <c r="AB133" s="14"/>
      <c r="AC133" s="14"/>
    </row>
    <row r="134" spans="1:32" ht="15.75" x14ac:dyDescent="0.25">
      <c r="A134" s="88" t="s">
        <v>917</v>
      </c>
      <c r="B134" s="88"/>
      <c r="L134" s="1"/>
      <c r="M134" s="1"/>
      <c r="N134" s="1"/>
      <c r="V134" s="1"/>
      <c r="W134" s="12"/>
      <c r="Y134" s="14"/>
      <c r="Z134" s="14"/>
    </row>
    <row r="135" spans="1:32" ht="12" thickBot="1" x14ac:dyDescent="0.25">
      <c r="M135" s="1"/>
      <c r="N135" s="1"/>
      <c r="S135" s="14"/>
      <c r="T135" s="14"/>
      <c r="U135" s="23"/>
      <c r="V135" s="1"/>
      <c r="W135" s="1"/>
      <c r="X135" s="1"/>
    </row>
    <row r="136" spans="1:32" ht="11.85" customHeight="1" x14ac:dyDescent="0.2">
      <c r="A136" s="17"/>
      <c r="B136" s="17"/>
      <c r="C136" s="17"/>
      <c r="D136" s="41"/>
      <c r="E136" s="17"/>
      <c r="F136" s="17"/>
      <c r="G136" s="17"/>
      <c r="H136" s="17"/>
      <c r="I136" s="17"/>
      <c r="J136" s="18"/>
      <c r="K136" s="18" t="s">
        <v>10</v>
      </c>
      <c r="L136" s="18" t="s">
        <v>47</v>
      </c>
      <c r="M136" s="18" t="s">
        <v>37</v>
      </c>
      <c r="N136" s="17"/>
      <c r="O136" s="17"/>
      <c r="P136" s="210"/>
      <c r="Q136" s="211"/>
      <c r="R136" s="18"/>
      <c r="S136" s="18"/>
      <c r="T136" s="18"/>
      <c r="U136" s="17"/>
      <c r="V136" s="1"/>
      <c r="W136" s="1"/>
      <c r="X136" s="1"/>
    </row>
    <row r="137" spans="1:32" ht="11.85" customHeight="1" x14ac:dyDescent="0.2">
      <c r="A137" s="19" t="s">
        <v>17</v>
      </c>
      <c r="B137" s="19" t="s">
        <v>1</v>
      </c>
      <c r="C137" s="19" t="s">
        <v>17</v>
      </c>
      <c r="D137" s="42" t="s">
        <v>39</v>
      </c>
      <c r="E137" s="19" t="s">
        <v>2</v>
      </c>
      <c r="F137" s="19" t="s">
        <v>17</v>
      </c>
      <c r="G137" s="19" t="s">
        <v>41</v>
      </c>
      <c r="H137" s="19" t="s">
        <v>41</v>
      </c>
      <c r="I137" s="19" t="s">
        <v>41</v>
      </c>
      <c r="J137" s="19" t="s">
        <v>41</v>
      </c>
      <c r="K137" s="19" t="s">
        <v>3</v>
      </c>
      <c r="L137" s="19" t="s">
        <v>49</v>
      </c>
      <c r="M137" s="19" t="s">
        <v>38</v>
      </c>
      <c r="N137" s="19" t="s">
        <v>4</v>
      </c>
      <c r="O137" s="19" t="s">
        <v>4</v>
      </c>
      <c r="P137" s="212" t="s">
        <v>14</v>
      </c>
      <c r="Q137" s="213"/>
      <c r="R137" s="19" t="s">
        <v>15</v>
      </c>
      <c r="S137" s="19" t="s">
        <v>21</v>
      </c>
      <c r="T137" s="19" t="s">
        <v>26</v>
      </c>
      <c r="U137" s="19" t="s">
        <v>65</v>
      </c>
      <c r="V137" s="1"/>
      <c r="W137" s="1"/>
      <c r="X137" s="1"/>
    </row>
    <row r="138" spans="1:32" ht="11.85" customHeight="1" x14ac:dyDescent="0.2">
      <c r="A138" s="19" t="s">
        <v>5</v>
      </c>
      <c r="B138" s="19"/>
      <c r="C138" s="19" t="s">
        <v>39</v>
      </c>
      <c r="D138" s="42" t="s">
        <v>40</v>
      </c>
      <c r="E138" s="19" t="s">
        <v>7</v>
      </c>
      <c r="F138" s="19" t="s">
        <v>64</v>
      </c>
      <c r="G138" s="19" t="s">
        <v>42</v>
      </c>
      <c r="H138" s="19" t="s">
        <v>43</v>
      </c>
      <c r="I138" s="19" t="s">
        <v>44</v>
      </c>
      <c r="J138" s="19" t="s">
        <v>45</v>
      </c>
      <c r="K138" s="19" t="s">
        <v>6</v>
      </c>
      <c r="L138" s="19" t="s">
        <v>13</v>
      </c>
      <c r="M138" s="19" t="s">
        <v>4</v>
      </c>
      <c r="N138" s="19" t="s">
        <v>9</v>
      </c>
      <c r="O138" s="19" t="s">
        <v>6</v>
      </c>
      <c r="P138" s="212"/>
      <c r="Q138" s="213"/>
      <c r="R138" s="19"/>
      <c r="S138" s="19" t="s">
        <v>28</v>
      </c>
      <c r="T138" s="19" t="s">
        <v>27</v>
      </c>
      <c r="U138" s="108"/>
      <c r="V138" s="1"/>
      <c r="W138" s="1"/>
      <c r="X138" s="1"/>
    </row>
    <row r="139" spans="1:32" ht="2.25" customHeight="1" thickBot="1" x14ac:dyDescent="0.25">
      <c r="A139" s="21"/>
      <c r="B139" s="20"/>
      <c r="C139" s="22"/>
      <c r="D139" s="43"/>
      <c r="E139" s="20"/>
      <c r="F139" s="22"/>
      <c r="G139" s="22"/>
      <c r="H139" s="22"/>
      <c r="I139" s="22"/>
      <c r="J139" s="22"/>
      <c r="K139" s="20"/>
      <c r="L139" s="20"/>
      <c r="M139" s="20"/>
      <c r="N139" s="20"/>
      <c r="O139" s="20"/>
      <c r="P139" s="214"/>
      <c r="Q139" s="215"/>
      <c r="R139" s="20"/>
      <c r="S139" s="20"/>
      <c r="T139" s="20"/>
      <c r="U139" s="20"/>
      <c r="V139" s="1"/>
      <c r="W139" s="1"/>
      <c r="X139" s="1"/>
    </row>
    <row r="140" spans="1:32" x14ac:dyDescent="0.2">
      <c r="A140" s="3" t="s">
        <v>1396</v>
      </c>
      <c r="B140" s="93" t="s">
        <v>869</v>
      </c>
      <c r="C140" s="5" t="s">
        <v>73</v>
      </c>
      <c r="D140" s="44" t="s">
        <v>73</v>
      </c>
      <c r="E140" s="5" t="s">
        <v>1397</v>
      </c>
      <c r="F140" s="49" t="s">
        <v>1398</v>
      </c>
      <c r="G140" s="49" t="s">
        <v>1399</v>
      </c>
      <c r="H140" s="5"/>
      <c r="I140" s="5"/>
      <c r="J140" s="5"/>
      <c r="K140" s="5">
        <v>43523</v>
      </c>
      <c r="L140" s="3">
        <v>2</v>
      </c>
      <c r="M140" s="182" t="s">
        <v>1400</v>
      </c>
      <c r="N140" s="56"/>
      <c r="O140" s="4">
        <v>43570</v>
      </c>
      <c r="P140" s="228" t="s">
        <v>1401</v>
      </c>
      <c r="Q140" s="229"/>
      <c r="R140" s="109"/>
      <c r="S140" s="110" t="s">
        <v>926</v>
      </c>
      <c r="T140" s="110" t="s">
        <v>23</v>
      </c>
      <c r="U140" s="111"/>
      <c r="V140" s="1"/>
      <c r="W140" s="1"/>
      <c r="X140" s="1"/>
    </row>
    <row r="141" spans="1:32" x14ac:dyDescent="0.2">
      <c r="A141" s="112" t="s">
        <v>1402</v>
      </c>
      <c r="B141" s="93" t="s">
        <v>1403</v>
      </c>
      <c r="C141" s="5" t="s">
        <v>73</v>
      </c>
      <c r="D141" s="44" t="s">
        <v>73</v>
      </c>
      <c r="E141" s="5" t="s">
        <v>1397</v>
      </c>
      <c r="F141" s="180" t="s">
        <v>1404</v>
      </c>
      <c r="G141" s="49" t="s">
        <v>1405</v>
      </c>
      <c r="H141" s="49" t="s">
        <v>1406</v>
      </c>
      <c r="I141" s="5"/>
      <c r="J141" s="5"/>
      <c r="K141" s="5">
        <v>43523</v>
      </c>
      <c r="L141" s="3">
        <v>8</v>
      </c>
      <c r="M141" s="182" t="s">
        <v>1407</v>
      </c>
      <c r="N141" s="58"/>
      <c r="O141" s="4">
        <v>43570</v>
      </c>
      <c r="P141" s="222" t="s">
        <v>875</v>
      </c>
      <c r="Q141" s="223"/>
      <c r="R141" s="91"/>
      <c r="S141" s="110" t="s">
        <v>926</v>
      </c>
      <c r="T141" s="110" t="s">
        <v>23</v>
      </c>
      <c r="U141" s="113"/>
      <c r="V141" s="1"/>
      <c r="W141" s="1"/>
      <c r="X141" s="1"/>
    </row>
    <row r="142" spans="1:32" x14ac:dyDescent="0.2">
      <c r="A142" s="3" t="s">
        <v>1408</v>
      </c>
      <c r="B142" s="93" t="s">
        <v>81</v>
      </c>
      <c r="C142" s="5" t="s">
        <v>73</v>
      </c>
      <c r="D142" s="44" t="s">
        <v>73</v>
      </c>
      <c r="E142" s="5" t="s">
        <v>1409</v>
      </c>
      <c r="F142" s="49" t="s">
        <v>1410</v>
      </c>
      <c r="G142" s="49" t="s">
        <v>1411</v>
      </c>
      <c r="H142" s="49"/>
      <c r="I142" s="5"/>
      <c r="J142" s="5"/>
      <c r="K142" s="5">
        <v>43397</v>
      </c>
      <c r="L142" s="3">
        <v>2</v>
      </c>
      <c r="M142" s="3" t="s">
        <v>86</v>
      </c>
      <c r="N142" s="58" t="s">
        <v>86</v>
      </c>
      <c r="O142" s="4" t="s">
        <v>86</v>
      </c>
      <c r="P142" s="222" t="s">
        <v>1412</v>
      </c>
      <c r="Q142" s="223"/>
      <c r="R142" s="91"/>
      <c r="S142" s="110" t="s">
        <v>931</v>
      </c>
      <c r="T142" s="110" t="s">
        <v>23</v>
      </c>
      <c r="U142" s="113"/>
      <c r="V142" s="1"/>
      <c r="W142" s="1"/>
      <c r="X142" s="1"/>
    </row>
    <row r="143" spans="1:32" x14ac:dyDescent="0.2">
      <c r="A143" s="3" t="s">
        <v>1413</v>
      </c>
      <c r="B143" s="93" t="s">
        <v>1414</v>
      </c>
      <c r="C143" s="5" t="s">
        <v>73</v>
      </c>
      <c r="D143" s="44" t="s">
        <v>73</v>
      </c>
      <c r="E143" s="5" t="s">
        <v>1415</v>
      </c>
      <c r="F143" s="49" t="s">
        <v>1416</v>
      </c>
      <c r="G143" s="49"/>
      <c r="H143" s="49"/>
      <c r="I143" s="5"/>
      <c r="J143" s="5"/>
      <c r="K143" s="5">
        <v>43453</v>
      </c>
      <c r="L143" s="3">
        <v>1</v>
      </c>
      <c r="M143" s="3"/>
      <c r="N143" s="58"/>
      <c r="O143" s="4"/>
      <c r="P143" s="222"/>
      <c r="Q143" s="223"/>
      <c r="R143" s="91"/>
      <c r="S143" s="110" t="s">
        <v>926</v>
      </c>
      <c r="T143" s="110" t="s">
        <v>22</v>
      </c>
      <c r="U143" s="113"/>
      <c r="V143" s="1"/>
      <c r="W143" s="1"/>
      <c r="X143" s="1"/>
    </row>
    <row r="144" spans="1:32" x14ac:dyDescent="0.2">
      <c r="A144" s="112" t="s">
        <v>1417</v>
      </c>
      <c r="B144" s="93" t="s">
        <v>1418</v>
      </c>
      <c r="C144" s="96" t="s">
        <v>73</v>
      </c>
      <c r="D144" s="2" t="s">
        <v>73</v>
      </c>
      <c r="E144" s="4" t="s">
        <v>1419</v>
      </c>
      <c r="F144" s="47" t="s">
        <v>1420</v>
      </c>
      <c r="G144" s="47" t="s">
        <v>1421</v>
      </c>
      <c r="H144" s="4"/>
      <c r="I144" s="4"/>
      <c r="J144" s="4"/>
      <c r="K144" s="5">
        <v>43410</v>
      </c>
      <c r="L144" s="3">
        <v>3</v>
      </c>
      <c r="M144" s="182" t="s">
        <v>1422</v>
      </c>
      <c r="N144" s="58">
        <v>50000</v>
      </c>
      <c r="O144" s="4">
        <v>43444</v>
      </c>
      <c r="P144" s="222" t="s">
        <v>1423</v>
      </c>
      <c r="Q144" s="223"/>
      <c r="R144" s="91"/>
      <c r="S144" s="110" t="s">
        <v>926</v>
      </c>
      <c r="T144" s="110" t="s">
        <v>23</v>
      </c>
      <c r="U144" s="113"/>
      <c r="V144" s="1"/>
      <c r="W144" s="1"/>
      <c r="X144" s="1"/>
    </row>
    <row r="145" spans="1:24" x14ac:dyDescent="0.2">
      <c r="A145" s="112" t="s">
        <v>1424</v>
      </c>
      <c r="B145" s="93" t="s">
        <v>1425</v>
      </c>
      <c r="C145" s="96" t="s">
        <v>73</v>
      </c>
      <c r="D145" s="2" t="s">
        <v>73</v>
      </c>
      <c r="E145" s="4" t="s">
        <v>86</v>
      </c>
      <c r="F145" s="47" t="s">
        <v>1426</v>
      </c>
      <c r="G145" s="47" t="s">
        <v>1427</v>
      </c>
      <c r="H145" s="4"/>
      <c r="I145" s="4"/>
      <c r="J145" s="4"/>
      <c r="K145" s="5">
        <v>43424</v>
      </c>
      <c r="L145" s="3">
        <v>2</v>
      </c>
      <c r="M145" s="3"/>
      <c r="N145" s="58"/>
      <c r="O145" s="4"/>
      <c r="P145" s="222"/>
      <c r="Q145" s="223"/>
      <c r="R145" s="91"/>
      <c r="S145" s="110" t="s">
        <v>931</v>
      </c>
      <c r="T145" s="110" t="s">
        <v>22</v>
      </c>
      <c r="U145" s="113"/>
      <c r="V145" s="1"/>
      <c r="W145" s="1"/>
      <c r="X145" s="1"/>
    </row>
    <row r="146" spans="1:24" x14ac:dyDescent="0.2">
      <c r="A146" s="112" t="s">
        <v>1428</v>
      </c>
      <c r="B146" s="93" t="s">
        <v>1414</v>
      </c>
      <c r="C146" s="96" t="s">
        <v>73</v>
      </c>
      <c r="D146" s="2" t="s">
        <v>73</v>
      </c>
      <c r="E146" s="4" t="s">
        <v>86</v>
      </c>
      <c r="F146" s="4" t="s">
        <v>86</v>
      </c>
      <c r="G146" s="4"/>
      <c r="H146" s="4"/>
      <c r="I146" s="4"/>
      <c r="J146" s="4"/>
      <c r="K146" s="5" t="s">
        <v>86</v>
      </c>
      <c r="L146" s="3">
        <v>1</v>
      </c>
      <c r="M146" s="182" t="s">
        <v>1429</v>
      </c>
      <c r="N146" s="58">
        <v>139517.95000000001</v>
      </c>
      <c r="O146" s="4">
        <v>43619</v>
      </c>
      <c r="P146" s="222" t="s">
        <v>1430</v>
      </c>
      <c r="Q146" s="223"/>
      <c r="R146" s="91"/>
      <c r="S146" s="110" t="s">
        <v>931</v>
      </c>
      <c r="T146" s="110" t="s">
        <v>22</v>
      </c>
      <c r="U146" s="113" t="s">
        <v>1431</v>
      </c>
      <c r="V146" s="1"/>
      <c r="W146" s="1"/>
      <c r="X146" s="1"/>
    </row>
    <row r="147" spans="1:24" ht="12" thickBot="1" x14ac:dyDescent="0.25">
      <c r="A147" s="114"/>
      <c r="B147" s="115"/>
      <c r="C147" s="116"/>
      <c r="D147" s="7"/>
      <c r="E147" s="8"/>
      <c r="F147" s="8"/>
      <c r="G147" s="8"/>
      <c r="H147" s="8"/>
      <c r="I147" s="8"/>
      <c r="J147" s="8"/>
      <c r="K147" s="117"/>
      <c r="L147" s="9"/>
      <c r="M147" s="9"/>
      <c r="N147" s="60"/>
      <c r="O147" s="8"/>
      <c r="P147" s="230"/>
      <c r="Q147" s="231"/>
      <c r="R147" s="62"/>
      <c r="S147" s="118"/>
      <c r="T147" s="118"/>
      <c r="U147" s="119"/>
      <c r="V147" s="1"/>
      <c r="W147" s="1"/>
      <c r="X147" s="1"/>
    </row>
    <row r="148" spans="1:24" x14ac:dyDescent="0.2">
      <c r="L148" s="1"/>
      <c r="M148" s="1"/>
      <c r="N148" s="1"/>
      <c r="V148" s="1"/>
      <c r="W148" s="1"/>
      <c r="X148" s="1"/>
    </row>
    <row r="149" spans="1:24" x14ac:dyDescent="0.2">
      <c r="K149" s="28" t="s">
        <v>35</v>
      </c>
      <c r="L149" s="1"/>
      <c r="M149" s="24" t="s">
        <v>46</v>
      </c>
      <c r="N149" s="25">
        <f>SUM(N140:N147)</f>
        <v>189517.95</v>
      </c>
      <c r="V149" s="1"/>
      <c r="W149" s="1"/>
      <c r="X149" s="1"/>
    </row>
    <row r="150" spans="1:24" ht="12.75" x14ac:dyDescent="0.2">
      <c r="A150" s="37" t="s">
        <v>62</v>
      </c>
      <c r="K150" s="11"/>
      <c r="L150" s="1"/>
      <c r="M150" s="1"/>
      <c r="N150" s="71" t="s">
        <v>68</v>
      </c>
      <c r="O150" s="71" t="s">
        <v>69</v>
      </c>
      <c r="V150" s="1"/>
      <c r="W150" s="1"/>
      <c r="X150" s="1"/>
    </row>
    <row r="151" spans="1:24" x14ac:dyDescent="0.2">
      <c r="K151" s="28"/>
      <c r="L151" s="1"/>
      <c r="M151" s="28" t="s">
        <v>22</v>
      </c>
      <c r="N151" s="30">
        <f>SUMIF(T140:T147,"GOODS",$N$140:$N$147)</f>
        <v>139517.95000000001</v>
      </c>
      <c r="O151" s="73">
        <f>COUNTIFS(T139:T147,"GOODS",$N$139:$N$147,"&gt;=1")</f>
        <v>1</v>
      </c>
      <c r="V151" s="1"/>
      <c r="W151" s="1"/>
      <c r="X151" s="1"/>
    </row>
    <row r="152" spans="1:24" x14ac:dyDescent="0.2">
      <c r="K152" s="28"/>
      <c r="L152" s="1"/>
      <c r="M152" s="28" t="s">
        <v>23</v>
      </c>
      <c r="N152" s="30">
        <f>SUMIF(T140:T147,"SERVICES",$N$140:$N$147)</f>
        <v>50000</v>
      </c>
      <c r="O152" s="73">
        <f>COUNTIFS(T139:T147,"SERVICES",$N$139:$N$147,"&gt;=1")</f>
        <v>1</v>
      </c>
      <c r="V152" s="1"/>
      <c r="W152" s="1"/>
      <c r="X152" s="1"/>
    </row>
    <row r="153" spans="1:24" x14ac:dyDescent="0.2">
      <c r="G153" s="28"/>
      <c r="H153" s="28"/>
      <c r="I153" s="28"/>
      <c r="J153" s="28"/>
      <c r="K153" s="30"/>
      <c r="L153" s="1"/>
      <c r="M153" s="28" t="s">
        <v>24</v>
      </c>
      <c r="N153" s="30">
        <f>SUMIF(T141:T148,"CONSTRUCTION",$N$140:$N$147)</f>
        <v>0</v>
      </c>
      <c r="O153" s="73">
        <f>COUNTIFS(T139:T147,"CONSTRUCTION",$N$139:$N$147,"&gt;=1")</f>
        <v>0</v>
      </c>
      <c r="V153" s="1"/>
      <c r="W153" s="1"/>
      <c r="X153" s="1"/>
    </row>
    <row r="154" spans="1:24" x14ac:dyDescent="0.2">
      <c r="A154" s="10"/>
      <c r="B154" s="14"/>
      <c r="K154" s="11"/>
      <c r="M154" s="6"/>
      <c r="N154" s="74">
        <f>SUM(N151:N153)</f>
        <v>189517.95</v>
      </c>
      <c r="O154" s="72">
        <f>SUM(O151:O153)</f>
        <v>2</v>
      </c>
      <c r="P154" s="12"/>
      <c r="Q154" s="12"/>
      <c r="R154" s="12"/>
      <c r="S154" s="14"/>
      <c r="T154" s="14"/>
      <c r="U154" s="14"/>
      <c r="V154" s="1"/>
      <c r="W154" s="1"/>
      <c r="X154" s="1"/>
    </row>
    <row r="155" spans="1:24" ht="15.75" x14ac:dyDescent="0.25">
      <c r="A155" s="88" t="s">
        <v>59</v>
      </c>
      <c r="B155" s="88"/>
      <c r="L155" s="1"/>
      <c r="M155" s="1"/>
      <c r="N155" s="1"/>
      <c r="V155" s="1"/>
      <c r="W155" s="1"/>
      <c r="X155" s="1"/>
    </row>
    <row r="156" spans="1:24" ht="15.75" x14ac:dyDescent="0.25">
      <c r="A156" s="88" t="s">
        <v>917</v>
      </c>
      <c r="B156" s="88"/>
      <c r="L156" s="1"/>
      <c r="M156" s="1"/>
      <c r="N156" s="1"/>
      <c r="V156" s="1"/>
      <c r="W156" s="1"/>
      <c r="X156" s="1"/>
    </row>
    <row r="157" spans="1:24" ht="12" thickBot="1" x14ac:dyDescent="0.25">
      <c r="S157" s="14"/>
      <c r="T157" s="14"/>
      <c r="U157" s="23"/>
      <c r="V157" s="1"/>
      <c r="W157" s="1"/>
      <c r="X157" s="1"/>
    </row>
    <row r="158" spans="1:24" ht="11.85" customHeight="1" x14ac:dyDescent="0.2">
      <c r="A158" s="17"/>
      <c r="B158" s="17"/>
      <c r="C158" s="17"/>
      <c r="D158" s="41"/>
      <c r="E158" s="17"/>
      <c r="F158" s="17"/>
      <c r="G158" s="17"/>
      <c r="H158" s="17"/>
      <c r="I158" s="17"/>
      <c r="J158" s="18"/>
      <c r="K158" s="18" t="s">
        <v>10</v>
      </c>
      <c r="L158" s="18"/>
      <c r="M158" s="18" t="s">
        <v>52</v>
      </c>
      <c r="N158" s="18" t="s">
        <v>47</v>
      </c>
      <c r="O158" s="18" t="s">
        <v>37</v>
      </c>
      <c r="P158" s="17"/>
      <c r="Q158" s="17"/>
      <c r="R158" s="18"/>
      <c r="S158" s="18"/>
      <c r="T158" s="18"/>
      <c r="U158" s="18"/>
      <c r="V158" s="1"/>
      <c r="W158" s="1"/>
      <c r="X158" s="1"/>
    </row>
    <row r="159" spans="1:24" ht="11.85" customHeight="1" x14ac:dyDescent="0.2">
      <c r="A159" s="19" t="s">
        <v>11</v>
      </c>
      <c r="B159" s="19" t="s">
        <v>1</v>
      </c>
      <c r="C159" s="19" t="s">
        <v>11</v>
      </c>
      <c r="D159" s="42" t="s">
        <v>39</v>
      </c>
      <c r="E159" s="19" t="s">
        <v>2</v>
      </c>
      <c r="F159" s="19" t="s">
        <v>11</v>
      </c>
      <c r="G159" s="19" t="s">
        <v>41</v>
      </c>
      <c r="H159" s="19" t="s">
        <v>41</v>
      </c>
      <c r="I159" s="19" t="s">
        <v>41</v>
      </c>
      <c r="J159" s="19" t="s">
        <v>41</v>
      </c>
      <c r="K159" s="19" t="s">
        <v>3</v>
      </c>
      <c r="L159" s="19" t="s">
        <v>51</v>
      </c>
      <c r="M159" s="19" t="s">
        <v>49</v>
      </c>
      <c r="N159" s="19" t="s">
        <v>49</v>
      </c>
      <c r="O159" s="19" t="s">
        <v>38</v>
      </c>
      <c r="P159" s="19" t="s">
        <v>4</v>
      </c>
      <c r="Q159" s="19" t="s">
        <v>4</v>
      </c>
      <c r="R159" s="19" t="s">
        <v>1432</v>
      </c>
      <c r="S159" s="19" t="s">
        <v>21</v>
      </c>
      <c r="T159" s="19" t="s">
        <v>26</v>
      </c>
      <c r="U159" s="19" t="s">
        <v>65</v>
      </c>
      <c r="V159" s="1"/>
      <c r="W159" s="1"/>
      <c r="X159" s="1"/>
    </row>
    <row r="160" spans="1:24" ht="11.85" customHeight="1" x14ac:dyDescent="0.2">
      <c r="A160" s="19" t="s">
        <v>5</v>
      </c>
      <c r="B160" s="19"/>
      <c r="C160" s="19" t="s">
        <v>39</v>
      </c>
      <c r="D160" s="42" t="s">
        <v>40</v>
      </c>
      <c r="E160" s="19" t="s">
        <v>7</v>
      </c>
      <c r="F160" s="19" t="s">
        <v>64</v>
      </c>
      <c r="G160" s="19" t="s">
        <v>42</v>
      </c>
      <c r="H160" s="19" t="s">
        <v>43</v>
      </c>
      <c r="I160" s="19" t="s">
        <v>44</v>
      </c>
      <c r="J160" s="19" t="s">
        <v>45</v>
      </c>
      <c r="K160" s="19" t="s">
        <v>6</v>
      </c>
      <c r="L160" s="19" t="s">
        <v>36</v>
      </c>
      <c r="M160" s="19" t="s">
        <v>13</v>
      </c>
      <c r="N160" s="19" t="s">
        <v>13</v>
      </c>
      <c r="O160" s="19" t="s">
        <v>4</v>
      </c>
      <c r="P160" s="19" t="s">
        <v>9</v>
      </c>
      <c r="Q160" s="19" t="s">
        <v>6</v>
      </c>
      <c r="R160" s="19"/>
      <c r="S160" s="19" t="s">
        <v>28</v>
      </c>
      <c r="T160" s="19" t="s">
        <v>27</v>
      </c>
      <c r="U160" s="19"/>
      <c r="V160" s="1"/>
      <c r="W160" s="1"/>
      <c r="X160" s="1"/>
    </row>
    <row r="161" spans="1:34" ht="2.25" customHeight="1" thickBot="1" x14ac:dyDescent="0.25">
      <c r="A161" s="21"/>
      <c r="B161" s="20"/>
      <c r="C161" s="22"/>
      <c r="D161" s="43"/>
      <c r="E161" s="20"/>
      <c r="F161" s="22"/>
      <c r="G161" s="22"/>
      <c r="H161" s="22"/>
      <c r="I161" s="22"/>
      <c r="J161" s="22"/>
      <c r="K161" s="20"/>
      <c r="L161" s="20"/>
      <c r="M161" s="20"/>
      <c r="N161" s="20"/>
      <c r="O161" s="20"/>
      <c r="P161" s="20"/>
      <c r="Q161" s="20"/>
      <c r="R161" s="20"/>
      <c r="S161" s="20"/>
      <c r="T161" s="20"/>
      <c r="U161" s="20"/>
      <c r="V161" s="1"/>
      <c r="W161" s="1"/>
      <c r="X161" s="1"/>
    </row>
    <row r="162" spans="1:34" x14ac:dyDescent="0.2">
      <c r="A162" s="3" t="s">
        <v>1433</v>
      </c>
      <c r="B162" s="93" t="s">
        <v>1434</v>
      </c>
      <c r="C162" s="5">
        <v>43525</v>
      </c>
      <c r="D162" s="48" t="s">
        <v>1435</v>
      </c>
      <c r="E162" s="4" t="s">
        <v>1436</v>
      </c>
      <c r="F162" s="47" t="s">
        <v>1437</v>
      </c>
      <c r="G162" s="47" t="s">
        <v>1438</v>
      </c>
      <c r="H162" s="47"/>
      <c r="I162" s="4"/>
      <c r="J162" s="4"/>
      <c r="K162" s="5">
        <v>43570</v>
      </c>
      <c r="L162" s="51" t="s">
        <v>1439</v>
      </c>
      <c r="M162" s="120">
        <v>1126200</v>
      </c>
      <c r="N162" s="3">
        <v>1</v>
      </c>
      <c r="O162" s="183"/>
      <c r="P162" s="61"/>
      <c r="Q162" s="4"/>
      <c r="R162" s="91"/>
      <c r="S162" s="110" t="s">
        <v>926</v>
      </c>
      <c r="T162" s="110" t="s">
        <v>24</v>
      </c>
      <c r="U162" s="55"/>
      <c r="W162" s="6"/>
      <c r="X162" s="1"/>
      <c r="Y162" s="6"/>
      <c r="Z162" s="12"/>
      <c r="AA162" s="12"/>
      <c r="AB162" s="12"/>
      <c r="AC162" s="14"/>
      <c r="AD162" s="14"/>
      <c r="AE162" s="14"/>
    </row>
    <row r="163" spans="1:34" x14ac:dyDescent="0.2">
      <c r="A163" s="3" t="s">
        <v>1440</v>
      </c>
      <c r="B163" s="93" t="s">
        <v>1441</v>
      </c>
      <c r="C163" s="96">
        <v>43591</v>
      </c>
      <c r="D163" s="48" t="s">
        <v>1442</v>
      </c>
      <c r="E163" s="3" t="s">
        <v>1443</v>
      </c>
      <c r="F163" s="50" t="s">
        <v>1444</v>
      </c>
      <c r="G163" s="50" t="s">
        <v>1445</v>
      </c>
      <c r="H163" s="50"/>
      <c r="I163" s="3"/>
      <c r="J163" s="3"/>
      <c r="K163" s="5">
        <v>43622</v>
      </c>
      <c r="L163" s="51" t="s">
        <v>1446</v>
      </c>
      <c r="M163" s="89">
        <f>3126817+2090140</f>
        <v>5216957</v>
      </c>
      <c r="N163" s="3">
        <v>2</v>
      </c>
      <c r="O163" s="110"/>
      <c r="P163" s="58"/>
      <c r="Q163" s="4"/>
      <c r="R163" s="91"/>
      <c r="S163" s="110" t="s">
        <v>926</v>
      </c>
      <c r="T163" s="110" t="s">
        <v>24</v>
      </c>
      <c r="U163" s="52"/>
      <c r="W163" s="6"/>
      <c r="X163" s="1"/>
      <c r="Y163" s="6"/>
      <c r="Z163" s="12"/>
      <c r="AA163" s="12"/>
      <c r="AB163" s="12"/>
      <c r="AC163" s="14"/>
      <c r="AD163" s="14"/>
      <c r="AE163" s="14"/>
    </row>
    <row r="164" spans="1:34" x14ac:dyDescent="0.2">
      <c r="A164" s="3" t="s">
        <v>1447</v>
      </c>
      <c r="B164" s="93" t="s">
        <v>1448</v>
      </c>
      <c r="C164" s="4">
        <v>43572</v>
      </c>
      <c r="D164" s="48" t="s">
        <v>1449</v>
      </c>
      <c r="E164" s="3" t="s">
        <v>1450</v>
      </c>
      <c r="F164" s="50" t="s">
        <v>1451</v>
      </c>
      <c r="G164" s="50" t="s">
        <v>1452</v>
      </c>
      <c r="H164" s="50" t="s">
        <v>1453</v>
      </c>
      <c r="I164" s="50" t="s">
        <v>1454</v>
      </c>
      <c r="J164" s="3"/>
      <c r="K164" s="5">
        <v>43601</v>
      </c>
      <c r="L164" s="51" t="s">
        <v>1455</v>
      </c>
      <c r="M164" s="89">
        <f>17797616.17+18532852.03+16349985.99+18458198.1</f>
        <v>71138652.290000007</v>
      </c>
      <c r="N164" s="3">
        <v>4</v>
      </c>
      <c r="O164" s="184" t="s">
        <v>1456</v>
      </c>
      <c r="P164" s="58">
        <v>16143240.949999999</v>
      </c>
      <c r="Q164" s="4">
        <v>43696</v>
      </c>
      <c r="R164" s="91" t="s">
        <v>1457</v>
      </c>
      <c r="S164" s="110" t="s">
        <v>926</v>
      </c>
      <c r="T164" s="110" t="s">
        <v>24</v>
      </c>
      <c r="U164" s="52"/>
      <c r="W164" s="6"/>
      <c r="X164" s="1"/>
      <c r="Y164" s="6"/>
      <c r="Z164" s="12"/>
      <c r="AA164" s="12"/>
      <c r="AB164" s="12"/>
      <c r="AC164" s="14"/>
      <c r="AD164" s="14"/>
      <c r="AE164" s="14"/>
    </row>
    <row r="165" spans="1:34" x14ac:dyDescent="0.2">
      <c r="A165" s="3" t="s">
        <v>1458</v>
      </c>
      <c r="B165" s="93" t="s">
        <v>1434</v>
      </c>
      <c r="C165" s="4">
        <v>43587</v>
      </c>
      <c r="D165" s="48" t="s">
        <v>1459</v>
      </c>
      <c r="E165" s="4" t="s">
        <v>1460</v>
      </c>
      <c r="F165" s="47" t="s">
        <v>1461</v>
      </c>
      <c r="G165" s="4"/>
      <c r="H165" s="4"/>
      <c r="I165" s="4"/>
      <c r="J165" s="4"/>
      <c r="K165" s="5">
        <v>43608</v>
      </c>
      <c r="L165" s="51" t="s">
        <v>1462</v>
      </c>
      <c r="M165" s="89">
        <v>593600</v>
      </c>
      <c r="N165" s="3">
        <v>1</v>
      </c>
      <c r="O165" s="47" t="s">
        <v>1463</v>
      </c>
      <c r="P165" s="58">
        <v>518093</v>
      </c>
      <c r="Q165" s="4">
        <v>43696</v>
      </c>
      <c r="R165" s="91" t="s">
        <v>1464</v>
      </c>
      <c r="S165" s="110" t="s">
        <v>926</v>
      </c>
      <c r="T165" s="110" t="s">
        <v>24</v>
      </c>
      <c r="U165" s="52" t="s">
        <v>1465</v>
      </c>
      <c r="W165" s="6"/>
      <c r="X165" s="1"/>
      <c r="Y165" s="6"/>
      <c r="Z165" s="12"/>
      <c r="AA165" s="12"/>
      <c r="AB165" s="12"/>
      <c r="AC165" s="14"/>
      <c r="AD165" s="14"/>
      <c r="AE165" s="14"/>
    </row>
    <row r="166" spans="1:34" x14ac:dyDescent="0.2">
      <c r="A166" s="3" t="s">
        <v>1466</v>
      </c>
      <c r="B166" s="93" t="s">
        <v>1441</v>
      </c>
      <c r="C166" s="96">
        <v>43637</v>
      </c>
      <c r="D166" s="48" t="s">
        <v>1467</v>
      </c>
      <c r="E166" s="3" t="s">
        <v>1296</v>
      </c>
      <c r="F166" s="50" t="s">
        <v>1468</v>
      </c>
      <c r="G166" s="50" t="s">
        <v>1469</v>
      </c>
      <c r="H166" s="3"/>
      <c r="I166" s="3"/>
      <c r="J166" s="3"/>
      <c r="K166" s="96">
        <v>43671</v>
      </c>
      <c r="L166" s="51" t="s">
        <v>1470</v>
      </c>
      <c r="M166" s="89">
        <f>1983380.5+2909124+2249200+2364050+3145100</f>
        <v>12650854.5</v>
      </c>
      <c r="N166" s="3">
        <v>5</v>
      </c>
      <c r="O166" s="50" t="s">
        <v>1471</v>
      </c>
      <c r="P166" s="58">
        <v>2195336.1</v>
      </c>
      <c r="Q166" s="4">
        <v>43752</v>
      </c>
      <c r="R166" s="91" t="s">
        <v>1472</v>
      </c>
      <c r="S166" s="110" t="s">
        <v>926</v>
      </c>
      <c r="T166" s="110" t="s">
        <v>24</v>
      </c>
      <c r="U166" s="52" t="s">
        <v>1473</v>
      </c>
      <c r="W166" s="6"/>
      <c r="X166" s="1"/>
      <c r="Y166" s="6"/>
      <c r="Z166" s="12"/>
      <c r="AA166" s="12"/>
      <c r="AB166" s="12"/>
      <c r="AC166" s="14"/>
      <c r="AD166" s="14"/>
      <c r="AE166" s="14"/>
    </row>
    <row r="167" spans="1:34" ht="12" thickBot="1" x14ac:dyDescent="0.25">
      <c r="A167" s="9"/>
      <c r="B167" s="121"/>
      <c r="C167" s="9"/>
      <c r="D167" s="7"/>
      <c r="E167" s="9"/>
      <c r="F167" s="9"/>
      <c r="G167" s="9"/>
      <c r="H167" s="9"/>
      <c r="I167" s="9"/>
      <c r="J167" s="9"/>
      <c r="K167" s="9"/>
      <c r="L167" s="9"/>
      <c r="M167" s="9"/>
      <c r="N167" s="9"/>
      <c r="O167" s="9"/>
      <c r="P167" s="60"/>
      <c r="Q167" s="8"/>
      <c r="R167" s="62"/>
      <c r="S167" s="9"/>
      <c r="T167" s="9"/>
      <c r="U167" s="54"/>
      <c r="W167" s="6"/>
      <c r="X167" s="1"/>
      <c r="Y167" s="6"/>
      <c r="Z167" s="11"/>
      <c r="AA167" s="11"/>
      <c r="AB167" s="11"/>
      <c r="AC167" s="14"/>
      <c r="AD167" s="14"/>
      <c r="AE167" s="14"/>
    </row>
    <row r="168" spans="1:34" x14ac:dyDescent="0.2">
      <c r="L168" s="1"/>
      <c r="M168" s="1"/>
      <c r="N168" s="1"/>
      <c r="S168" s="6"/>
      <c r="T168" s="6"/>
      <c r="U168" s="14"/>
      <c r="W168" s="6"/>
      <c r="X168" s="1"/>
      <c r="Y168" s="6"/>
      <c r="Z168" s="11"/>
      <c r="AA168" s="11"/>
      <c r="AB168" s="11"/>
      <c r="AC168" s="14"/>
      <c r="AD168" s="14"/>
      <c r="AE168" s="14"/>
    </row>
    <row r="169" spans="1:34" x14ac:dyDescent="0.2">
      <c r="L169" s="28" t="s">
        <v>34</v>
      </c>
      <c r="M169" s="29">
        <f>SUM(M162:M167)</f>
        <v>90726263.790000007</v>
      </c>
      <c r="N169" s="1"/>
      <c r="O169" s="24" t="s">
        <v>46</v>
      </c>
      <c r="P169" s="25">
        <f>SUM(P162:P167)</f>
        <v>18856670.050000001</v>
      </c>
      <c r="U169" s="14"/>
      <c r="W169" s="6"/>
      <c r="X169" s="1"/>
      <c r="Y169" s="6"/>
      <c r="Z169" s="11"/>
      <c r="AA169" s="11"/>
      <c r="AB169" s="11"/>
      <c r="AC169" s="14"/>
      <c r="AD169" s="14"/>
      <c r="AE169" s="14"/>
    </row>
    <row r="170" spans="1:34" ht="12.75" x14ac:dyDescent="0.2">
      <c r="A170" s="37" t="s">
        <v>62</v>
      </c>
      <c r="L170" s="11"/>
      <c r="M170" s="1"/>
      <c r="N170" s="11"/>
      <c r="O170" s="11"/>
      <c r="P170" s="71" t="s">
        <v>68</v>
      </c>
      <c r="Q170" s="71" t="s">
        <v>69</v>
      </c>
      <c r="U170" s="14"/>
      <c r="W170" s="6"/>
      <c r="X170" s="1"/>
      <c r="Y170" s="6"/>
      <c r="Z170" s="11"/>
      <c r="AA170" s="11"/>
      <c r="AB170" s="11"/>
      <c r="AC170" s="14"/>
      <c r="AD170" s="14"/>
      <c r="AE170" s="14"/>
    </row>
    <row r="171" spans="1:34" x14ac:dyDescent="0.2">
      <c r="L171" s="28"/>
      <c r="M171" s="1"/>
      <c r="N171" s="30"/>
      <c r="O171" s="28" t="s">
        <v>22</v>
      </c>
      <c r="P171" s="30">
        <f>SUMIF(T162:T167,"GOODS",$P$162:$P$167)</f>
        <v>0</v>
      </c>
      <c r="Q171" s="73">
        <f>COUNTIFS(T161:T167,"GOODS",$P$161:$P$167,"&gt;=1")</f>
        <v>0</v>
      </c>
      <c r="V171" s="1"/>
      <c r="W171" s="1"/>
      <c r="Y171" s="14"/>
      <c r="Z171" s="6"/>
      <c r="AB171" s="6"/>
      <c r="AC171" s="11"/>
      <c r="AD171" s="11"/>
      <c r="AE171" s="11"/>
      <c r="AF171" s="14"/>
      <c r="AG171" s="14"/>
      <c r="AH171" s="14"/>
    </row>
    <row r="172" spans="1:34" x14ac:dyDescent="0.2">
      <c r="L172" s="28"/>
      <c r="M172" s="1"/>
      <c r="N172" s="30"/>
      <c r="O172" s="28" t="s">
        <v>23</v>
      </c>
      <c r="P172" s="30">
        <f>SUMIF(T162:T167,"SERVICES",$P$162:$P$167)</f>
        <v>0</v>
      </c>
      <c r="Q172" s="73">
        <f>COUNTIFS(T161:T167,"SERVICES",$P$161:$P$167,"&gt;=1")</f>
        <v>0</v>
      </c>
      <c r="V172" s="1"/>
      <c r="W172" s="1"/>
      <c r="Y172" s="14"/>
      <c r="Z172" s="6"/>
      <c r="AB172" s="6"/>
      <c r="AC172" s="11"/>
      <c r="AD172" s="11"/>
      <c r="AE172" s="11"/>
      <c r="AF172" s="14"/>
      <c r="AG172" s="14"/>
      <c r="AH172" s="14"/>
    </row>
    <row r="173" spans="1:34" x14ac:dyDescent="0.2">
      <c r="L173" s="28"/>
      <c r="M173" s="1"/>
      <c r="N173" s="30"/>
      <c r="O173" s="28" t="s">
        <v>24</v>
      </c>
      <c r="P173" s="30">
        <f>SUMIF(T162:T167,"CONSTRUCTION",$P$162:$P$167)</f>
        <v>18856670.050000001</v>
      </c>
      <c r="Q173" s="73">
        <f>COUNTIFS(T161:T167,"CONSTRUCTION",$P$161:$P$167,"&gt;=1")</f>
        <v>3</v>
      </c>
      <c r="V173" s="1"/>
      <c r="W173" s="1"/>
      <c r="Y173" s="14"/>
      <c r="Z173" s="6"/>
      <c r="AB173" s="6"/>
      <c r="AC173" s="11"/>
      <c r="AD173" s="11"/>
      <c r="AE173" s="11"/>
      <c r="AF173" s="14"/>
      <c r="AG173" s="14"/>
      <c r="AH173" s="14"/>
    </row>
    <row r="174" spans="1:34" x14ac:dyDescent="0.2">
      <c r="L174" s="1"/>
      <c r="M174" s="1"/>
      <c r="N174" s="1"/>
      <c r="P174" s="74">
        <f>SUM(P171:P173)</f>
        <v>18856670.050000001</v>
      </c>
      <c r="Q174" s="72">
        <f>SUM(Q171:Q173)</f>
        <v>3</v>
      </c>
      <c r="V174" s="1"/>
      <c r="W174" s="1"/>
      <c r="Y174" s="14"/>
      <c r="Z174" s="6"/>
      <c r="AB174" s="6"/>
      <c r="AC174" s="11"/>
      <c r="AD174" s="11"/>
      <c r="AE174" s="11"/>
      <c r="AF174" s="14"/>
      <c r="AG174" s="14"/>
      <c r="AH174" s="14"/>
    </row>
    <row r="175" spans="1:34" ht="15.75" x14ac:dyDescent="0.25">
      <c r="A175" s="88" t="s">
        <v>30</v>
      </c>
      <c r="B175" s="88"/>
      <c r="L175" s="1"/>
      <c r="M175" s="1"/>
      <c r="N175" s="1"/>
      <c r="V175" s="1"/>
      <c r="W175" s="1"/>
      <c r="X175" s="1"/>
    </row>
    <row r="176" spans="1:34" ht="15.75" x14ac:dyDescent="0.25">
      <c r="A176" s="88" t="s">
        <v>917</v>
      </c>
      <c r="B176" s="88"/>
      <c r="L176" s="1"/>
      <c r="M176" s="1"/>
      <c r="N176" s="1"/>
      <c r="V176" s="1"/>
      <c r="W176" s="1"/>
      <c r="X176" s="1"/>
    </row>
    <row r="177" spans="1:30" ht="12" thickBot="1" x14ac:dyDescent="0.25">
      <c r="M177" s="1"/>
      <c r="N177" s="1"/>
      <c r="R177" s="14"/>
      <c r="S177" s="14"/>
      <c r="T177" s="23"/>
      <c r="V177" s="1"/>
      <c r="W177" s="1"/>
      <c r="X177" s="1"/>
    </row>
    <row r="178" spans="1:30" ht="11.85" customHeight="1" x14ac:dyDescent="0.2">
      <c r="A178" s="17"/>
      <c r="B178" s="17"/>
      <c r="C178" s="17"/>
      <c r="D178" s="41"/>
      <c r="E178" s="17"/>
      <c r="F178" s="17"/>
      <c r="G178" s="17"/>
      <c r="H178" s="17"/>
      <c r="I178" s="17"/>
      <c r="J178" s="18"/>
      <c r="K178" s="18" t="s">
        <v>10</v>
      </c>
      <c r="L178" s="18" t="s">
        <v>47</v>
      </c>
      <c r="M178" s="18" t="s">
        <v>37</v>
      </c>
      <c r="N178" s="17"/>
      <c r="O178" s="17"/>
      <c r="P178" s="210"/>
      <c r="Q178" s="211"/>
      <c r="R178" s="18"/>
      <c r="S178" s="18"/>
      <c r="T178" s="18"/>
      <c r="V178" s="1"/>
      <c r="W178" s="1"/>
      <c r="X178" s="1"/>
    </row>
    <row r="179" spans="1:30" ht="11.85" customHeight="1" x14ac:dyDescent="0.2">
      <c r="A179" s="19" t="s">
        <v>12</v>
      </c>
      <c r="B179" s="19" t="s">
        <v>1</v>
      </c>
      <c r="C179" s="19" t="s">
        <v>71</v>
      </c>
      <c r="D179" s="42" t="s">
        <v>39</v>
      </c>
      <c r="E179" s="19" t="s">
        <v>2</v>
      </c>
      <c r="F179" s="19" t="s">
        <v>71</v>
      </c>
      <c r="G179" s="19" t="s">
        <v>41</v>
      </c>
      <c r="H179" s="19" t="s">
        <v>41</v>
      </c>
      <c r="I179" s="19" t="s">
        <v>41</v>
      </c>
      <c r="J179" s="19" t="s">
        <v>41</v>
      </c>
      <c r="K179" s="19" t="s">
        <v>3</v>
      </c>
      <c r="L179" s="19" t="s">
        <v>48</v>
      </c>
      <c r="M179" s="19" t="s">
        <v>38</v>
      </c>
      <c r="N179" s="19" t="s">
        <v>4</v>
      </c>
      <c r="O179" s="19" t="s">
        <v>4</v>
      </c>
      <c r="P179" s="212" t="s">
        <v>14</v>
      </c>
      <c r="Q179" s="213"/>
      <c r="R179" s="19" t="s">
        <v>21</v>
      </c>
      <c r="S179" s="19" t="s">
        <v>26</v>
      </c>
      <c r="T179" s="19" t="s">
        <v>65</v>
      </c>
      <c r="V179" s="1"/>
      <c r="W179" s="1"/>
      <c r="X179" s="1"/>
    </row>
    <row r="180" spans="1:30" ht="11.85" customHeight="1" x14ac:dyDescent="0.2">
      <c r="A180" s="19" t="s">
        <v>5</v>
      </c>
      <c r="B180" s="19"/>
      <c r="C180" s="19" t="s">
        <v>39</v>
      </c>
      <c r="D180" s="42" t="s">
        <v>40</v>
      </c>
      <c r="E180" s="19" t="s">
        <v>7</v>
      </c>
      <c r="F180" s="19" t="s">
        <v>64</v>
      </c>
      <c r="G180" s="19" t="s">
        <v>42</v>
      </c>
      <c r="H180" s="19" t="s">
        <v>43</v>
      </c>
      <c r="I180" s="19" t="s">
        <v>44</v>
      </c>
      <c r="J180" s="19" t="s">
        <v>45</v>
      </c>
      <c r="K180" s="19" t="s">
        <v>6</v>
      </c>
      <c r="L180" s="19" t="s">
        <v>13</v>
      </c>
      <c r="M180" s="19" t="s">
        <v>4</v>
      </c>
      <c r="N180" s="19" t="s">
        <v>9</v>
      </c>
      <c r="O180" s="19" t="s">
        <v>6</v>
      </c>
      <c r="P180" s="212"/>
      <c r="Q180" s="213"/>
      <c r="R180" s="19" t="s">
        <v>28</v>
      </c>
      <c r="S180" s="19" t="s">
        <v>27</v>
      </c>
      <c r="T180" s="19"/>
      <c r="V180" s="1"/>
      <c r="W180" s="1"/>
      <c r="X180" s="1"/>
    </row>
    <row r="181" spans="1:30" ht="2.25" customHeight="1" thickBot="1" x14ac:dyDescent="0.25">
      <c r="A181" s="21"/>
      <c r="B181" s="20"/>
      <c r="C181" s="22"/>
      <c r="D181" s="43"/>
      <c r="E181" s="20"/>
      <c r="F181" s="22"/>
      <c r="G181" s="22"/>
      <c r="H181" s="22"/>
      <c r="I181" s="22"/>
      <c r="J181" s="22"/>
      <c r="K181" s="20"/>
      <c r="L181" s="20"/>
      <c r="M181" s="20"/>
      <c r="N181" s="20"/>
      <c r="O181" s="20"/>
      <c r="P181" s="214"/>
      <c r="Q181" s="215"/>
      <c r="R181" s="20"/>
      <c r="S181" s="20"/>
      <c r="T181" s="20"/>
      <c r="V181" s="1"/>
      <c r="W181" s="1"/>
      <c r="X181" s="1"/>
    </row>
    <row r="182" spans="1:30" x14ac:dyDescent="0.2">
      <c r="A182" s="122" t="s">
        <v>1474</v>
      </c>
      <c r="B182" s="93" t="s">
        <v>1475</v>
      </c>
      <c r="C182" s="4">
        <v>43392</v>
      </c>
      <c r="D182" s="48" t="s">
        <v>1476</v>
      </c>
      <c r="E182" s="123" t="s">
        <v>1477</v>
      </c>
      <c r="F182" s="47" t="s">
        <v>1478</v>
      </c>
      <c r="G182" s="47" t="s">
        <v>1479</v>
      </c>
      <c r="H182" s="4"/>
      <c r="I182" s="4"/>
      <c r="J182" s="4"/>
      <c r="K182" s="5">
        <v>43419</v>
      </c>
      <c r="L182" s="3">
        <v>12</v>
      </c>
      <c r="M182" s="181" t="s">
        <v>1480</v>
      </c>
      <c r="N182" s="124">
        <v>20000</v>
      </c>
      <c r="O182" s="4">
        <v>43479</v>
      </c>
      <c r="P182" s="228" t="s">
        <v>1481</v>
      </c>
      <c r="Q182" s="229"/>
      <c r="R182" s="110" t="s">
        <v>926</v>
      </c>
      <c r="S182" s="110" t="s">
        <v>24</v>
      </c>
      <c r="T182" s="55"/>
      <c r="U182" s="14"/>
      <c r="V182" s="6"/>
      <c r="W182" s="1"/>
      <c r="X182" s="6"/>
      <c r="Y182" s="12"/>
      <c r="Z182" s="12"/>
      <c r="AA182" s="12"/>
      <c r="AB182" s="14"/>
      <c r="AC182" s="14"/>
      <c r="AD182" s="14"/>
    </row>
    <row r="183" spans="1:30" ht="22.5" x14ac:dyDescent="0.2">
      <c r="A183" s="3" t="s">
        <v>1482</v>
      </c>
      <c r="B183" s="93" t="s">
        <v>1483</v>
      </c>
      <c r="C183" s="96" t="s">
        <v>86</v>
      </c>
      <c r="D183" s="2" t="s">
        <v>86</v>
      </c>
      <c r="E183" s="3" t="s">
        <v>86</v>
      </c>
      <c r="F183" s="50" t="s">
        <v>1484</v>
      </c>
      <c r="G183" s="3"/>
      <c r="H183" s="3"/>
      <c r="I183" s="3"/>
      <c r="J183" s="3"/>
      <c r="K183" s="5">
        <v>43473</v>
      </c>
      <c r="L183" s="3">
        <v>2</v>
      </c>
      <c r="M183" s="110" t="s">
        <v>86</v>
      </c>
      <c r="N183" s="58">
        <v>300000</v>
      </c>
      <c r="O183" s="4">
        <v>43580</v>
      </c>
      <c r="P183" s="222" t="s">
        <v>1485</v>
      </c>
      <c r="Q183" s="223"/>
      <c r="R183" s="110" t="s">
        <v>931</v>
      </c>
      <c r="S183" s="110" t="s">
        <v>23</v>
      </c>
      <c r="T183" s="52"/>
      <c r="U183" s="14"/>
      <c r="V183" s="6"/>
      <c r="W183" s="1"/>
      <c r="X183" s="6"/>
      <c r="Y183" s="12"/>
      <c r="Z183" s="12"/>
      <c r="AA183" s="12"/>
      <c r="AB183" s="14"/>
      <c r="AC183" s="14"/>
      <c r="AD183" s="14"/>
    </row>
    <row r="184" spans="1:30" ht="22.5" x14ac:dyDescent="0.2">
      <c r="A184" s="3" t="s">
        <v>1486</v>
      </c>
      <c r="B184" s="93" t="s">
        <v>1487</v>
      </c>
      <c r="C184" s="4" t="s">
        <v>86</v>
      </c>
      <c r="D184" s="2" t="s">
        <v>86</v>
      </c>
      <c r="E184" s="3" t="s">
        <v>1102</v>
      </c>
      <c r="F184" s="50" t="s">
        <v>1488</v>
      </c>
      <c r="G184" s="50" t="s">
        <v>1489</v>
      </c>
      <c r="H184" s="50"/>
      <c r="I184" s="50"/>
      <c r="J184" s="50"/>
      <c r="K184" s="5">
        <v>43496</v>
      </c>
      <c r="L184" s="3">
        <v>9</v>
      </c>
      <c r="M184" s="110" t="s">
        <v>86</v>
      </c>
      <c r="N184" s="58">
        <v>91404</v>
      </c>
      <c r="O184" s="4">
        <v>43720</v>
      </c>
      <c r="P184" s="222" t="s">
        <v>1490</v>
      </c>
      <c r="Q184" s="223"/>
      <c r="R184" s="110" t="s">
        <v>926</v>
      </c>
      <c r="S184" s="110" t="s">
        <v>23</v>
      </c>
      <c r="T184" s="52"/>
      <c r="U184" s="14"/>
      <c r="V184" s="6"/>
      <c r="W184" s="1"/>
      <c r="X184" s="6"/>
      <c r="Y184" s="12"/>
      <c r="Z184" s="12"/>
      <c r="AA184" s="12"/>
      <c r="AB184" s="14"/>
      <c r="AC184" s="14"/>
      <c r="AD184" s="14"/>
    </row>
    <row r="185" spans="1:30" ht="12" thickBot="1" x14ac:dyDescent="0.25">
      <c r="A185" s="9"/>
      <c r="B185" s="121"/>
      <c r="C185" s="9"/>
      <c r="D185" s="7"/>
      <c r="E185" s="9"/>
      <c r="F185" s="9"/>
      <c r="G185" s="9"/>
      <c r="H185" s="9"/>
      <c r="I185" s="9"/>
      <c r="J185" s="9"/>
      <c r="K185" s="9"/>
      <c r="L185" s="9"/>
      <c r="M185" s="9"/>
      <c r="N185" s="9"/>
      <c r="O185" s="8"/>
      <c r="P185" s="230"/>
      <c r="Q185" s="231"/>
      <c r="R185" s="9"/>
      <c r="S185" s="9"/>
      <c r="T185" s="54"/>
      <c r="U185" s="14"/>
      <c r="V185" s="6"/>
      <c r="W185" s="1"/>
      <c r="X185" s="6"/>
      <c r="Y185" s="11"/>
      <c r="Z185" s="11"/>
      <c r="AA185" s="11"/>
      <c r="AB185" s="14"/>
      <c r="AC185" s="14"/>
      <c r="AD185" s="14"/>
    </row>
    <row r="186" spans="1:30" x14ac:dyDescent="0.2">
      <c r="L186" s="1"/>
      <c r="M186" s="1"/>
      <c r="N186" s="1"/>
      <c r="R186" s="6"/>
      <c r="S186" s="6"/>
      <c r="T186" s="14"/>
      <c r="U186" s="14"/>
      <c r="V186" s="6"/>
      <c r="W186" s="1"/>
      <c r="X186" s="6"/>
      <c r="Y186" s="11"/>
      <c r="Z186" s="11"/>
      <c r="AA186" s="11"/>
      <c r="AB186" s="14"/>
      <c r="AC186" s="14"/>
      <c r="AD186" s="14"/>
    </row>
    <row r="187" spans="1:30" x14ac:dyDescent="0.2">
      <c r="L187" s="1"/>
      <c r="M187" s="24" t="s">
        <v>46</v>
      </c>
      <c r="N187" s="25">
        <f>SUM(N182:N185)</f>
        <v>411404</v>
      </c>
      <c r="T187" s="14"/>
      <c r="U187" s="14"/>
      <c r="V187" s="6"/>
      <c r="W187" s="1"/>
      <c r="X187" s="6"/>
      <c r="Y187" s="11"/>
      <c r="Z187" s="11"/>
      <c r="AA187" s="11"/>
      <c r="AB187" s="14"/>
      <c r="AC187" s="14"/>
      <c r="AD187" s="14"/>
    </row>
    <row r="188" spans="1:30" ht="12.75" x14ac:dyDescent="0.2">
      <c r="A188" s="37" t="s">
        <v>62</v>
      </c>
      <c r="L188" s="11"/>
      <c r="M188" s="11"/>
      <c r="N188" s="71" t="s">
        <v>68</v>
      </c>
      <c r="O188" s="71" t="s">
        <v>69</v>
      </c>
      <c r="T188" s="14"/>
      <c r="U188" s="14"/>
      <c r="V188" s="6"/>
      <c r="W188" s="1"/>
      <c r="X188" s="6"/>
      <c r="Y188" s="11"/>
      <c r="Z188" s="11"/>
      <c r="AA188" s="11"/>
      <c r="AB188" s="14"/>
      <c r="AC188" s="14"/>
      <c r="AD188" s="14"/>
    </row>
    <row r="189" spans="1:30" x14ac:dyDescent="0.2">
      <c r="L189" s="30"/>
      <c r="M189" s="28" t="s">
        <v>22</v>
      </c>
      <c r="N189" s="30">
        <f>SUMIF(S182:S185,"GOODS",$N$182:$N$185)</f>
        <v>0</v>
      </c>
      <c r="O189" s="73">
        <f>COUNTIFS(S181:S185,"GOODS",$N$181:$N$185,"&gt;=1")</f>
        <v>0</v>
      </c>
      <c r="T189" s="14"/>
      <c r="U189" s="14"/>
      <c r="V189" s="6"/>
      <c r="W189" s="1"/>
      <c r="X189" s="6"/>
      <c r="Y189" s="11"/>
      <c r="Z189" s="11"/>
      <c r="AA189" s="11"/>
      <c r="AB189" s="14"/>
      <c r="AC189" s="14"/>
      <c r="AD189" s="14"/>
    </row>
    <row r="190" spans="1:30" x14ac:dyDescent="0.2">
      <c r="L190" s="30"/>
      <c r="M190" s="28" t="s">
        <v>23</v>
      </c>
      <c r="N190" s="30">
        <f>SUMIF(S182:S185,"SERVICES",$N$182:$N$185)</f>
        <v>391404</v>
      </c>
      <c r="O190" s="73">
        <f>COUNTIFS(S181:S185,"SERVICES",$N$181:$N$185,"&gt;=1")</f>
        <v>2</v>
      </c>
      <c r="T190" s="14"/>
      <c r="U190" s="14"/>
      <c r="V190" s="6"/>
      <c r="W190" s="1"/>
      <c r="X190" s="6"/>
      <c r="Y190" s="11"/>
      <c r="Z190" s="11"/>
      <c r="AA190" s="11"/>
      <c r="AB190" s="14"/>
      <c r="AC190" s="14"/>
      <c r="AD190" s="14"/>
    </row>
    <row r="191" spans="1:30" x14ac:dyDescent="0.2">
      <c r="L191" s="30"/>
      <c r="M191" s="28" t="s">
        <v>24</v>
      </c>
      <c r="N191" s="30">
        <f>SUMIF(S182:S185,"CONSTRUCTION",$N$182:$N$185)</f>
        <v>20000</v>
      </c>
      <c r="O191" s="73">
        <f>COUNTIFS(S181:S185,"CONSTRUCTION",$N$181:$N$185,"&gt;=1")</f>
        <v>1</v>
      </c>
      <c r="T191" s="14"/>
      <c r="U191" s="14"/>
      <c r="V191" s="6"/>
      <c r="W191" s="1"/>
      <c r="X191" s="6"/>
      <c r="Y191" s="11"/>
      <c r="Z191" s="11"/>
      <c r="AA191" s="11"/>
      <c r="AB191" s="14"/>
      <c r="AC191" s="14"/>
      <c r="AD191" s="14"/>
    </row>
    <row r="192" spans="1:30" x14ac:dyDescent="0.2">
      <c r="A192" s="10"/>
      <c r="B192" s="14"/>
      <c r="K192" s="11"/>
      <c r="M192" s="1"/>
      <c r="N192" s="74">
        <f>SUM(N189:N191)</f>
        <v>411404</v>
      </c>
      <c r="O192" s="72">
        <f>SUM(O189:O191)</f>
        <v>3</v>
      </c>
      <c r="P192" s="11"/>
      <c r="Q192" s="11"/>
      <c r="R192" s="14"/>
      <c r="S192" s="14"/>
      <c r="T192" s="14"/>
      <c r="V192" s="1"/>
      <c r="W192" s="1"/>
      <c r="X192" s="1"/>
    </row>
    <row r="193" spans="1:24" ht="15.75" x14ac:dyDescent="0.25">
      <c r="A193" s="88" t="s">
        <v>29</v>
      </c>
      <c r="B193" s="88"/>
      <c r="L193" s="1"/>
      <c r="M193" s="1"/>
      <c r="N193" s="1"/>
      <c r="V193" s="1"/>
      <c r="W193" s="1"/>
      <c r="X193" s="1"/>
    </row>
    <row r="194" spans="1:24" ht="15.75" x14ac:dyDescent="0.25">
      <c r="A194" s="88" t="s">
        <v>917</v>
      </c>
      <c r="B194" s="88"/>
      <c r="L194" s="1"/>
      <c r="M194" s="1"/>
      <c r="N194" s="1"/>
      <c r="V194" s="1"/>
      <c r="W194" s="1"/>
      <c r="X194" s="1"/>
    </row>
    <row r="195" spans="1:24" ht="12" thickBot="1" x14ac:dyDescent="0.25">
      <c r="J195" s="14"/>
      <c r="K195" s="14"/>
      <c r="M195" s="23"/>
      <c r="N195" s="1"/>
      <c r="V195" s="1"/>
      <c r="W195" s="1"/>
      <c r="X195" s="1"/>
    </row>
    <row r="196" spans="1:24" ht="11.85" customHeight="1" x14ac:dyDescent="0.2">
      <c r="A196" s="17"/>
      <c r="B196" s="17"/>
      <c r="C196" s="17"/>
      <c r="D196" s="41"/>
      <c r="E196" s="17"/>
      <c r="F196" s="17"/>
      <c r="G196" s="17"/>
      <c r="H196" s="17"/>
      <c r="I196" s="18" t="s">
        <v>10</v>
      </c>
      <c r="J196" s="18" t="s">
        <v>47</v>
      </c>
      <c r="K196" s="18"/>
      <c r="L196" s="18"/>
      <c r="M196" s="210"/>
      <c r="N196" s="211"/>
      <c r="V196" s="1"/>
      <c r="W196" s="1"/>
      <c r="X196" s="1"/>
    </row>
    <row r="197" spans="1:24" ht="11.85" customHeight="1" x14ac:dyDescent="0.2">
      <c r="A197" s="19" t="s">
        <v>18</v>
      </c>
      <c r="B197" s="19" t="s">
        <v>1</v>
      </c>
      <c r="C197" s="19" t="s">
        <v>18</v>
      </c>
      <c r="D197" s="42" t="s">
        <v>39</v>
      </c>
      <c r="E197" s="19" t="s">
        <v>2</v>
      </c>
      <c r="F197" s="19" t="s">
        <v>18</v>
      </c>
      <c r="G197" s="19" t="s">
        <v>41</v>
      </c>
      <c r="H197" s="19" t="s">
        <v>41</v>
      </c>
      <c r="I197" s="19" t="s">
        <v>3</v>
      </c>
      <c r="J197" s="19" t="s">
        <v>48</v>
      </c>
      <c r="K197" s="19" t="s">
        <v>21</v>
      </c>
      <c r="L197" s="19" t="s">
        <v>26</v>
      </c>
      <c r="M197" s="212" t="s">
        <v>65</v>
      </c>
      <c r="N197" s="213"/>
      <c r="V197" s="1"/>
      <c r="W197" s="1"/>
      <c r="X197" s="1"/>
    </row>
    <row r="198" spans="1:24" ht="11.85" customHeight="1" x14ac:dyDescent="0.2">
      <c r="A198" s="19" t="s">
        <v>5</v>
      </c>
      <c r="B198" s="19"/>
      <c r="C198" s="19" t="s">
        <v>39</v>
      </c>
      <c r="D198" s="42" t="s">
        <v>40</v>
      </c>
      <c r="E198" s="19" t="s">
        <v>7</v>
      </c>
      <c r="F198" s="19" t="s">
        <v>64</v>
      </c>
      <c r="G198" s="19" t="s">
        <v>42</v>
      </c>
      <c r="H198" s="19" t="s">
        <v>43</v>
      </c>
      <c r="I198" s="19" t="s">
        <v>6</v>
      </c>
      <c r="J198" s="19" t="s">
        <v>13</v>
      </c>
      <c r="K198" s="19" t="s">
        <v>28</v>
      </c>
      <c r="L198" s="19" t="s">
        <v>27</v>
      </c>
      <c r="M198" s="212"/>
      <c r="N198" s="213"/>
      <c r="V198" s="1"/>
      <c r="W198" s="1"/>
      <c r="X198" s="1"/>
    </row>
    <row r="199" spans="1:24" ht="2.25" customHeight="1" thickBot="1" x14ac:dyDescent="0.25">
      <c r="A199" s="21"/>
      <c r="B199" s="20"/>
      <c r="C199" s="22"/>
      <c r="D199" s="43"/>
      <c r="E199" s="20"/>
      <c r="F199" s="22"/>
      <c r="G199" s="22"/>
      <c r="H199" s="22"/>
      <c r="I199" s="20"/>
      <c r="J199" s="20"/>
      <c r="K199" s="20"/>
      <c r="L199" s="20"/>
      <c r="M199" s="214"/>
      <c r="N199" s="215"/>
      <c r="V199" s="1"/>
      <c r="W199" s="1"/>
      <c r="X199" s="1"/>
    </row>
    <row r="200" spans="1:24" ht="13.35" customHeight="1" x14ac:dyDescent="0.2">
      <c r="A200" s="122" t="s">
        <v>1491</v>
      </c>
      <c r="B200" s="93"/>
      <c r="C200" s="96"/>
      <c r="D200" s="2"/>
      <c r="E200" s="96"/>
      <c r="F200" s="47"/>
      <c r="G200" s="47"/>
      <c r="H200" s="96"/>
      <c r="I200" s="96"/>
      <c r="J200" s="96"/>
      <c r="K200" s="110"/>
      <c r="L200" s="110"/>
      <c r="M200" s="232"/>
      <c r="N200" s="233"/>
      <c r="O200" s="6"/>
      <c r="Q200" s="6"/>
      <c r="R200" s="12"/>
      <c r="S200" s="12"/>
      <c r="T200" s="12"/>
      <c r="U200" s="14"/>
      <c r="X200" s="1"/>
    </row>
    <row r="201" spans="1:24" ht="14.1" customHeight="1" thickBot="1" x14ac:dyDescent="0.25">
      <c r="A201" s="9"/>
      <c r="B201" s="121"/>
      <c r="C201" s="9"/>
      <c r="D201" s="7"/>
      <c r="E201" s="9"/>
      <c r="F201" s="9"/>
      <c r="G201" s="9"/>
      <c r="H201" s="9"/>
      <c r="I201" s="9"/>
      <c r="J201" s="9"/>
      <c r="K201" s="9"/>
      <c r="L201" s="9"/>
      <c r="M201" s="234"/>
      <c r="N201" s="235"/>
      <c r="O201" s="6"/>
      <c r="Q201" s="6"/>
      <c r="R201" s="11"/>
      <c r="S201" s="11"/>
      <c r="T201" s="11"/>
      <c r="U201" s="14"/>
      <c r="X201" s="1"/>
    </row>
    <row r="202" spans="1:24" x14ac:dyDescent="0.2">
      <c r="K202" s="6"/>
      <c r="L202" s="6"/>
      <c r="O202" s="6"/>
      <c r="Q202" s="6"/>
      <c r="R202" s="11"/>
      <c r="S202" s="11"/>
      <c r="T202" s="11"/>
      <c r="U202" s="14"/>
      <c r="X202" s="1"/>
    </row>
    <row r="203" spans="1:24" x14ac:dyDescent="0.2">
      <c r="A203" s="10"/>
      <c r="B203" s="14"/>
      <c r="I203" s="11"/>
      <c r="J203" s="14"/>
      <c r="K203" s="14"/>
      <c r="N203" s="1"/>
      <c r="V203" s="1"/>
      <c r="W203" s="1"/>
      <c r="X203" s="1"/>
    </row>
    <row r="204" spans="1:24" ht="12.75" x14ac:dyDescent="0.2">
      <c r="A204" s="38" t="s">
        <v>62</v>
      </c>
      <c r="B204" s="14"/>
      <c r="J204" s="14"/>
      <c r="K204" s="14"/>
      <c r="O204" s="14"/>
      <c r="V204" s="1"/>
      <c r="W204" s="1"/>
      <c r="X204" s="1"/>
    </row>
    <row r="205" spans="1:24" x14ac:dyDescent="0.2">
      <c r="A205" s="10"/>
      <c r="B205" s="14"/>
      <c r="K205" s="11"/>
      <c r="O205" s="14"/>
      <c r="P205" s="14"/>
      <c r="Q205" s="14"/>
      <c r="V205" s="1"/>
      <c r="W205" s="1"/>
      <c r="X205" s="1"/>
    </row>
    <row r="206" spans="1:24" x14ac:dyDescent="0.2">
      <c r="A206" s="10"/>
      <c r="B206" s="14"/>
      <c r="K206" s="11"/>
      <c r="O206" s="14"/>
      <c r="P206" s="14"/>
      <c r="Q206" s="14"/>
      <c r="V206" s="1"/>
      <c r="W206" s="1"/>
      <c r="X206" s="1"/>
    </row>
    <row r="207" spans="1:24" x14ac:dyDescent="0.2">
      <c r="A207" s="10" t="s">
        <v>67</v>
      </c>
      <c r="B207" s="14"/>
      <c r="K207" s="11"/>
      <c r="R207" s="11"/>
      <c r="S207" s="11"/>
      <c r="T207" s="11"/>
      <c r="U207" s="11"/>
    </row>
    <row r="208" spans="1:24" x14ac:dyDescent="0.2">
      <c r="A208" s="10"/>
      <c r="B208" s="14"/>
      <c r="K208" s="11"/>
      <c r="R208" s="11"/>
      <c r="S208" s="11"/>
      <c r="T208" s="11"/>
      <c r="U208" s="11"/>
    </row>
    <row r="209" spans="1:21" ht="15" customHeight="1" x14ac:dyDescent="0.2">
      <c r="A209" s="236" t="s">
        <v>66</v>
      </c>
      <c r="B209" s="237"/>
      <c r="C209" s="237"/>
      <c r="D209" s="237"/>
      <c r="E209" s="237"/>
      <c r="F209" s="237"/>
      <c r="G209" s="237"/>
      <c r="H209" s="237"/>
      <c r="I209" s="237"/>
      <c r="J209" s="237"/>
      <c r="K209" s="237"/>
      <c r="L209" s="237"/>
      <c r="R209" s="11"/>
      <c r="S209" s="11"/>
      <c r="T209" s="11"/>
      <c r="U209" s="11"/>
    </row>
    <row r="210" spans="1:21" ht="15" customHeight="1" x14ac:dyDescent="0.2">
      <c r="A210" s="237"/>
      <c r="B210" s="237"/>
      <c r="C210" s="237"/>
      <c r="D210" s="237"/>
      <c r="E210" s="237"/>
      <c r="F210" s="237"/>
      <c r="G210" s="237"/>
      <c r="H210" s="237"/>
      <c r="I210" s="237"/>
      <c r="J210" s="237"/>
      <c r="K210" s="237"/>
      <c r="L210" s="237"/>
      <c r="R210" s="11"/>
      <c r="S210" s="11"/>
      <c r="T210" s="11"/>
      <c r="U210" s="11"/>
    </row>
    <row r="211" spans="1:21" ht="14.25" customHeight="1" x14ac:dyDescent="0.2">
      <c r="A211" s="237"/>
      <c r="B211" s="237"/>
      <c r="C211" s="237"/>
      <c r="D211" s="237"/>
      <c r="E211" s="237"/>
      <c r="F211" s="237"/>
      <c r="G211" s="237"/>
      <c r="H211" s="237"/>
      <c r="I211" s="237"/>
      <c r="J211" s="237"/>
      <c r="K211" s="237"/>
      <c r="L211" s="237"/>
      <c r="R211" s="11"/>
      <c r="S211" s="11"/>
      <c r="T211" s="11"/>
      <c r="U211" s="11"/>
    </row>
    <row r="212" spans="1:21" ht="14.25" customHeight="1" x14ac:dyDescent="0.2">
      <c r="A212" s="237"/>
      <c r="B212" s="237"/>
      <c r="C212" s="237"/>
      <c r="D212" s="237"/>
      <c r="E212" s="237"/>
      <c r="F212" s="237"/>
      <c r="G212" s="237"/>
      <c r="H212" s="237"/>
      <c r="I212" s="237"/>
      <c r="J212" s="237"/>
      <c r="K212" s="237"/>
      <c r="L212" s="237"/>
      <c r="R212" s="11"/>
      <c r="S212" s="11"/>
      <c r="T212" s="11"/>
      <c r="U212" s="11"/>
    </row>
    <row r="213" spans="1:21" x14ac:dyDescent="0.2">
      <c r="A213" s="10"/>
      <c r="B213" s="14"/>
      <c r="K213" s="11"/>
      <c r="R213" s="11"/>
      <c r="S213" s="11"/>
      <c r="T213" s="11"/>
      <c r="U213" s="11"/>
    </row>
    <row r="214" spans="1:21" x14ac:dyDescent="0.2">
      <c r="A214" s="10"/>
      <c r="B214" s="14"/>
      <c r="K214" s="11"/>
      <c r="R214" s="11"/>
      <c r="S214" s="11"/>
      <c r="T214" s="11"/>
      <c r="U214" s="11"/>
    </row>
    <row r="215" spans="1:21" x14ac:dyDescent="0.2">
      <c r="A215" s="10"/>
      <c r="B215" s="14"/>
      <c r="K215" s="11"/>
      <c r="R215" s="11"/>
      <c r="S215" s="11"/>
      <c r="T215" s="11"/>
      <c r="U215" s="11"/>
    </row>
    <row r="216" spans="1:21" x14ac:dyDescent="0.2">
      <c r="A216" s="10"/>
      <c r="B216" s="14"/>
      <c r="K216" s="11"/>
      <c r="R216" s="11"/>
      <c r="S216" s="11"/>
      <c r="T216" s="11"/>
      <c r="U216" s="11"/>
    </row>
    <row r="217" spans="1:21" x14ac:dyDescent="0.2">
      <c r="A217" s="10"/>
      <c r="B217" s="14"/>
      <c r="K217" s="11"/>
      <c r="R217" s="11"/>
      <c r="S217" s="11"/>
      <c r="T217" s="11"/>
      <c r="U217" s="11"/>
    </row>
    <row r="218" spans="1:21" x14ac:dyDescent="0.2">
      <c r="A218" s="10"/>
      <c r="B218" s="14"/>
      <c r="K218" s="11"/>
      <c r="R218" s="11"/>
      <c r="S218" s="11"/>
      <c r="T218" s="11"/>
      <c r="U218" s="11"/>
    </row>
    <row r="219" spans="1:21" x14ac:dyDescent="0.2">
      <c r="A219" s="10"/>
      <c r="B219" s="14"/>
      <c r="K219" s="11"/>
      <c r="R219" s="11"/>
      <c r="S219" s="11"/>
      <c r="T219" s="11"/>
      <c r="U219" s="11"/>
    </row>
    <row r="220" spans="1:21" x14ac:dyDescent="0.2">
      <c r="A220" s="10"/>
      <c r="B220" s="14"/>
      <c r="K220" s="11"/>
      <c r="R220" s="11"/>
      <c r="S220" s="11"/>
      <c r="T220" s="11"/>
      <c r="U220" s="11"/>
    </row>
    <row r="221" spans="1:21" x14ac:dyDescent="0.2">
      <c r="A221" s="10"/>
      <c r="B221" s="14"/>
      <c r="K221" s="11"/>
      <c r="R221" s="11"/>
      <c r="S221" s="11"/>
      <c r="T221" s="11"/>
      <c r="U221" s="11"/>
    </row>
    <row r="222" spans="1:21" x14ac:dyDescent="0.2">
      <c r="A222" s="10"/>
      <c r="B222" s="14"/>
      <c r="K222" s="11"/>
      <c r="R222" s="11"/>
      <c r="S222" s="11"/>
      <c r="T222" s="11"/>
      <c r="U222" s="11"/>
    </row>
    <row r="223" spans="1:21" x14ac:dyDescent="0.2">
      <c r="A223" s="10"/>
      <c r="B223" s="14"/>
      <c r="K223" s="11"/>
      <c r="R223" s="11"/>
      <c r="S223" s="11"/>
      <c r="T223" s="11"/>
      <c r="U223" s="11"/>
    </row>
    <row r="224" spans="1:21" x14ac:dyDescent="0.2">
      <c r="A224" s="10"/>
      <c r="B224" s="14"/>
      <c r="K224" s="11"/>
      <c r="R224" s="11"/>
      <c r="S224" s="11"/>
      <c r="T224" s="11"/>
      <c r="U224" s="11"/>
    </row>
    <row r="225" spans="1:21" x14ac:dyDescent="0.2">
      <c r="A225" s="10"/>
      <c r="B225" s="14"/>
      <c r="K225" s="11"/>
      <c r="R225" s="11"/>
      <c r="S225" s="11"/>
      <c r="T225" s="11"/>
      <c r="U225" s="11"/>
    </row>
    <row r="226" spans="1:21" x14ac:dyDescent="0.2">
      <c r="A226" s="10"/>
      <c r="B226" s="14"/>
      <c r="K226" s="11"/>
      <c r="R226" s="11"/>
      <c r="S226" s="11"/>
      <c r="T226" s="11"/>
      <c r="U226" s="11"/>
    </row>
    <row r="227" spans="1:21" x14ac:dyDescent="0.2">
      <c r="A227" s="10"/>
      <c r="B227" s="14"/>
      <c r="K227" s="11"/>
      <c r="R227" s="11"/>
      <c r="S227" s="11"/>
      <c r="T227" s="11"/>
      <c r="U227" s="11"/>
    </row>
    <row r="228" spans="1:21" x14ac:dyDescent="0.2">
      <c r="A228" s="10"/>
      <c r="B228" s="14"/>
      <c r="K228" s="11"/>
      <c r="R228" s="11"/>
      <c r="S228" s="11"/>
      <c r="T228" s="11"/>
      <c r="U228" s="11"/>
    </row>
    <row r="229" spans="1:21" x14ac:dyDescent="0.2">
      <c r="A229" s="10"/>
      <c r="B229" s="14"/>
      <c r="K229" s="11"/>
      <c r="R229" s="11"/>
      <c r="S229" s="11"/>
      <c r="T229" s="11"/>
      <c r="U229" s="11"/>
    </row>
    <row r="230" spans="1:21" x14ac:dyDescent="0.2">
      <c r="A230" s="10"/>
      <c r="B230" s="14"/>
      <c r="K230" s="11"/>
      <c r="R230" s="11"/>
      <c r="S230" s="11"/>
      <c r="T230" s="11"/>
      <c r="U230" s="11"/>
    </row>
    <row r="231" spans="1:21" x14ac:dyDescent="0.2">
      <c r="A231" s="10"/>
      <c r="B231" s="14"/>
      <c r="K231" s="11"/>
      <c r="R231" s="11"/>
      <c r="S231" s="11"/>
      <c r="T231" s="11"/>
      <c r="U231" s="11"/>
    </row>
    <row r="232" spans="1:21" x14ac:dyDescent="0.2">
      <c r="A232" s="10"/>
      <c r="B232" s="14"/>
      <c r="K232" s="11"/>
      <c r="R232" s="11"/>
      <c r="S232" s="11"/>
      <c r="T232" s="11"/>
      <c r="U232" s="11"/>
    </row>
    <row r="233" spans="1:21" x14ac:dyDescent="0.2">
      <c r="A233" s="10"/>
      <c r="B233" s="14"/>
      <c r="K233" s="11"/>
      <c r="R233" s="11"/>
      <c r="S233" s="11"/>
      <c r="T233" s="11"/>
      <c r="U233" s="11"/>
    </row>
    <row r="234" spans="1:21" x14ac:dyDescent="0.2">
      <c r="A234" s="10"/>
      <c r="B234" s="14"/>
      <c r="K234" s="11"/>
      <c r="R234" s="11"/>
      <c r="S234" s="11"/>
      <c r="T234" s="11"/>
      <c r="U234" s="11"/>
    </row>
    <row r="235" spans="1:21" x14ac:dyDescent="0.2">
      <c r="A235" s="10"/>
      <c r="B235" s="14"/>
      <c r="K235" s="11"/>
      <c r="R235" s="11"/>
      <c r="S235" s="11"/>
      <c r="T235" s="11"/>
      <c r="U235" s="11"/>
    </row>
    <row r="236" spans="1:21" x14ac:dyDescent="0.2">
      <c r="A236" s="10"/>
      <c r="B236" s="14"/>
      <c r="K236" s="11"/>
      <c r="R236" s="11"/>
      <c r="S236" s="11"/>
      <c r="T236" s="11"/>
      <c r="U236" s="11"/>
    </row>
    <row r="237" spans="1:21" x14ac:dyDescent="0.2">
      <c r="A237" s="10"/>
      <c r="B237" s="14"/>
      <c r="K237" s="11"/>
      <c r="R237" s="11"/>
      <c r="S237" s="11"/>
      <c r="T237" s="11"/>
      <c r="U237" s="11"/>
    </row>
    <row r="238" spans="1:21" x14ac:dyDescent="0.2">
      <c r="A238" s="10"/>
      <c r="B238" s="14"/>
      <c r="K238" s="11"/>
      <c r="R238" s="11"/>
      <c r="S238" s="11"/>
      <c r="T238" s="11"/>
      <c r="U238" s="11"/>
    </row>
    <row r="239" spans="1:21" x14ac:dyDescent="0.2">
      <c r="A239" s="10"/>
      <c r="B239" s="14"/>
      <c r="K239" s="11"/>
      <c r="R239" s="11"/>
      <c r="S239" s="11"/>
      <c r="T239" s="11"/>
      <c r="U239" s="11"/>
    </row>
    <row r="240" spans="1:21" x14ac:dyDescent="0.2">
      <c r="A240" s="10"/>
      <c r="B240" s="14"/>
      <c r="K240" s="11"/>
      <c r="R240" s="11"/>
      <c r="S240" s="11"/>
      <c r="T240" s="11"/>
      <c r="U240" s="11"/>
    </row>
    <row r="241" spans="1:21" x14ac:dyDescent="0.2">
      <c r="A241" s="10"/>
      <c r="B241" s="14"/>
      <c r="K241" s="11"/>
      <c r="R241" s="11"/>
      <c r="S241" s="11"/>
      <c r="T241" s="11"/>
      <c r="U241" s="11"/>
    </row>
    <row r="242" spans="1:21" x14ac:dyDescent="0.2">
      <c r="A242" s="10"/>
      <c r="B242" s="14"/>
      <c r="K242" s="11"/>
      <c r="R242" s="11"/>
      <c r="S242" s="11"/>
      <c r="T242" s="11"/>
      <c r="U242" s="11"/>
    </row>
    <row r="243" spans="1:21" x14ac:dyDescent="0.2">
      <c r="A243" s="10"/>
      <c r="B243" s="14"/>
      <c r="K243" s="11"/>
      <c r="R243" s="11"/>
      <c r="S243" s="11"/>
      <c r="T243" s="11"/>
      <c r="U243" s="11"/>
    </row>
    <row r="244" spans="1:21" x14ac:dyDescent="0.2">
      <c r="A244" s="10"/>
      <c r="B244" s="14"/>
      <c r="K244" s="11"/>
      <c r="R244" s="11"/>
      <c r="S244" s="11"/>
      <c r="T244" s="11"/>
      <c r="U244" s="11"/>
    </row>
    <row r="245" spans="1:21" x14ac:dyDescent="0.2">
      <c r="A245" s="10"/>
      <c r="B245" s="14"/>
      <c r="K245" s="11"/>
      <c r="R245" s="11"/>
      <c r="S245" s="11"/>
      <c r="T245" s="11"/>
      <c r="U245" s="11"/>
    </row>
    <row r="246" spans="1:21" x14ac:dyDescent="0.2">
      <c r="A246" s="10"/>
      <c r="B246" s="14"/>
      <c r="K246" s="11"/>
      <c r="R246" s="11"/>
      <c r="S246" s="11"/>
      <c r="T246" s="11"/>
      <c r="U246" s="11"/>
    </row>
    <row r="247" spans="1:21" x14ac:dyDescent="0.2">
      <c r="A247" s="10"/>
      <c r="B247" s="14"/>
      <c r="K247" s="11"/>
      <c r="R247" s="11"/>
      <c r="S247" s="11"/>
      <c r="T247" s="11"/>
      <c r="U247" s="11"/>
    </row>
    <row r="248" spans="1:21" x14ac:dyDescent="0.2">
      <c r="A248" s="10"/>
      <c r="B248" s="14"/>
      <c r="K248" s="11"/>
      <c r="R248" s="11"/>
      <c r="S248" s="11"/>
      <c r="T248" s="11"/>
      <c r="U248" s="11"/>
    </row>
    <row r="249" spans="1:21" x14ac:dyDescent="0.2">
      <c r="A249" s="10"/>
      <c r="B249" s="14"/>
      <c r="R249" s="11"/>
      <c r="S249" s="11"/>
      <c r="T249" s="11"/>
      <c r="U249" s="11"/>
    </row>
    <row r="250" spans="1:21" x14ac:dyDescent="0.2">
      <c r="A250" s="10"/>
      <c r="B250" s="14"/>
      <c r="R250" s="11"/>
      <c r="S250" s="11"/>
      <c r="T250" s="11"/>
      <c r="U250" s="11"/>
    </row>
    <row r="251" spans="1:21" x14ac:dyDescent="0.2">
      <c r="A251" s="10"/>
      <c r="B251" s="14"/>
      <c r="R251" s="11"/>
      <c r="S251" s="11"/>
      <c r="T251" s="11"/>
      <c r="U251" s="11"/>
    </row>
    <row r="252" spans="1:21" x14ac:dyDescent="0.2">
      <c r="A252" s="10"/>
      <c r="B252" s="14"/>
      <c r="R252" s="11"/>
      <c r="S252" s="11"/>
      <c r="T252" s="11"/>
      <c r="U252" s="11"/>
    </row>
    <row r="253" spans="1:21" x14ac:dyDescent="0.2">
      <c r="A253" s="10"/>
      <c r="B253" s="14"/>
      <c r="R253" s="11"/>
      <c r="S253" s="11"/>
      <c r="T253" s="11"/>
      <c r="U253" s="11"/>
    </row>
    <row r="254" spans="1:21" x14ac:dyDescent="0.2">
      <c r="A254" s="10"/>
      <c r="B254" s="14"/>
      <c r="R254" s="11"/>
      <c r="S254" s="11"/>
      <c r="T254" s="11"/>
      <c r="U254" s="11"/>
    </row>
    <row r="255" spans="1:21" x14ac:dyDescent="0.2">
      <c r="A255" s="10"/>
      <c r="B255" s="14"/>
      <c r="R255" s="11"/>
      <c r="S255" s="11"/>
      <c r="T255" s="11"/>
      <c r="U255" s="11"/>
    </row>
    <row r="256" spans="1:21" x14ac:dyDescent="0.2">
      <c r="A256" s="10"/>
      <c r="B256" s="14"/>
      <c r="R256" s="11"/>
      <c r="S256" s="11"/>
      <c r="T256" s="11"/>
      <c r="U256" s="11"/>
    </row>
    <row r="257" spans="1:21" x14ac:dyDescent="0.2">
      <c r="A257" s="10"/>
      <c r="B257" s="14"/>
      <c r="R257" s="11"/>
      <c r="S257" s="11"/>
      <c r="T257" s="11"/>
      <c r="U257" s="11"/>
    </row>
    <row r="258" spans="1:21" x14ac:dyDescent="0.2">
      <c r="A258" s="10"/>
      <c r="B258" s="14"/>
      <c r="R258" s="11"/>
      <c r="S258" s="11"/>
      <c r="T258" s="11"/>
      <c r="U258" s="11"/>
    </row>
    <row r="259" spans="1:21" x14ac:dyDescent="0.2">
      <c r="A259" s="10"/>
      <c r="B259" s="14"/>
      <c r="R259" s="11"/>
      <c r="S259" s="11"/>
      <c r="T259" s="11"/>
      <c r="U259" s="11"/>
    </row>
    <row r="260" spans="1:21" x14ac:dyDescent="0.2">
      <c r="A260" s="10"/>
      <c r="B260" s="14"/>
      <c r="R260" s="11"/>
      <c r="S260" s="11"/>
      <c r="T260" s="11"/>
      <c r="U260" s="11"/>
    </row>
    <row r="261" spans="1:21" x14ac:dyDescent="0.2">
      <c r="A261" s="10"/>
      <c r="B261" s="14"/>
      <c r="R261" s="11"/>
      <c r="S261" s="11"/>
      <c r="T261" s="11"/>
      <c r="U261" s="11"/>
    </row>
    <row r="262" spans="1:21" x14ac:dyDescent="0.2">
      <c r="A262" s="10"/>
      <c r="B262" s="14"/>
      <c r="R262" s="11"/>
      <c r="S262" s="11"/>
      <c r="T262" s="11"/>
      <c r="U262" s="11"/>
    </row>
    <row r="263" spans="1:21" x14ac:dyDescent="0.2">
      <c r="A263" s="10"/>
      <c r="B263" s="14"/>
      <c r="R263" s="11"/>
      <c r="S263" s="11"/>
      <c r="T263" s="11"/>
      <c r="U263" s="11"/>
    </row>
    <row r="264" spans="1:21" x14ac:dyDescent="0.2">
      <c r="A264" s="10"/>
      <c r="B264" s="14"/>
      <c r="R264" s="11"/>
      <c r="S264" s="11"/>
      <c r="T264" s="11"/>
      <c r="U264" s="11"/>
    </row>
    <row r="265" spans="1:21" x14ac:dyDescent="0.2">
      <c r="A265" s="10"/>
      <c r="B265" s="14"/>
      <c r="R265" s="11"/>
      <c r="S265" s="11"/>
      <c r="T265" s="11"/>
      <c r="U265" s="11"/>
    </row>
    <row r="266" spans="1:21" x14ac:dyDescent="0.2">
      <c r="A266" s="10"/>
      <c r="B266" s="14"/>
      <c r="R266" s="11"/>
      <c r="S266" s="11"/>
      <c r="T266" s="11"/>
      <c r="U266" s="11"/>
    </row>
    <row r="267" spans="1:21" x14ac:dyDescent="0.2">
      <c r="A267" s="10"/>
      <c r="B267" s="14"/>
      <c r="R267" s="11"/>
      <c r="S267" s="11"/>
      <c r="T267" s="11"/>
      <c r="U267" s="11"/>
    </row>
    <row r="268" spans="1:21" x14ac:dyDescent="0.2">
      <c r="A268" s="10"/>
      <c r="B268" s="14"/>
      <c r="R268" s="11"/>
      <c r="S268" s="11"/>
      <c r="T268" s="11"/>
      <c r="U268" s="11"/>
    </row>
    <row r="269" spans="1:21" x14ac:dyDescent="0.2">
      <c r="A269" s="10"/>
      <c r="B269" s="14"/>
      <c r="R269" s="11"/>
      <c r="S269" s="11"/>
      <c r="T269" s="11"/>
      <c r="U269" s="11"/>
    </row>
    <row r="270" spans="1:21" x14ac:dyDescent="0.2">
      <c r="A270" s="10"/>
      <c r="B270" s="14"/>
      <c r="R270" s="11"/>
      <c r="S270" s="11"/>
      <c r="T270" s="11"/>
      <c r="U270" s="11"/>
    </row>
    <row r="271" spans="1:21" x14ac:dyDescent="0.2">
      <c r="A271" s="10"/>
      <c r="B271" s="14"/>
      <c r="R271" s="11"/>
      <c r="S271" s="11"/>
      <c r="T271" s="11"/>
      <c r="U271" s="11"/>
    </row>
    <row r="272" spans="1:21" x14ac:dyDescent="0.2">
      <c r="A272" s="10"/>
      <c r="B272" s="14"/>
      <c r="R272" s="11"/>
      <c r="S272" s="11"/>
      <c r="T272" s="11"/>
      <c r="U272" s="11"/>
    </row>
    <row r="273" spans="1:21" x14ac:dyDescent="0.2">
      <c r="A273" s="10"/>
      <c r="B273" s="14"/>
      <c r="R273" s="11"/>
      <c r="S273" s="11"/>
      <c r="T273" s="11"/>
      <c r="U273" s="11"/>
    </row>
    <row r="274" spans="1:21" x14ac:dyDescent="0.2">
      <c r="A274" s="10"/>
      <c r="B274" s="14"/>
      <c r="R274" s="11"/>
      <c r="S274" s="11"/>
      <c r="T274" s="11"/>
      <c r="U274" s="11"/>
    </row>
    <row r="275" spans="1:21" x14ac:dyDescent="0.2">
      <c r="A275" s="10"/>
      <c r="B275" s="14"/>
      <c r="R275" s="11"/>
      <c r="S275" s="11"/>
      <c r="T275" s="11"/>
      <c r="U275" s="11"/>
    </row>
    <row r="276" spans="1:21" x14ac:dyDescent="0.2">
      <c r="A276" s="10"/>
      <c r="B276" s="14"/>
      <c r="R276" s="11"/>
      <c r="S276" s="11"/>
      <c r="T276" s="11"/>
      <c r="U276" s="11"/>
    </row>
    <row r="277" spans="1:21" x14ac:dyDescent="0.2">
      <c r="A277" s="10"/>
      <c r="B277" s="14"/>
      <c r="R277" s="11"/>
      <c r="S277" s="11"/>
      <c r="T277" s="11"/>
      <c r="U277" s="11"/>
    </row>
    <row r="278" spans="1:21" x14ac:dyDescent="0.2">
      <c r="A278" s="10"/>
      <c r="B278" s="14"/>
      <c r="R278" s="11"/>
      <c r="S278" s="11"/>
      <c r="T278" s="11"/>
      <c r="U278" s="11"/>
    </row>
    <row r="279" spans="1:21" x14ac:dyDescent="0.2">
      <c r="A279" s="10"/>
      <c r="B279" s="14"/>
      <c r="R279" s="11"/>
      <c r="S279" s="11"/>
      <c r="T279" s="11"/>
      <c r="U279" s="11"/>
    </row>
    <row r="280" spans="1:21" x14ac:dyDescent="0.2">
      <c r="A280" s="10"/>
      <c r="B280" s="14"/>
      <c r="R280" s="11"/>
      <c r="S280" s="11"/>
      <c r="T280" s="11"/>
      <c r="U280" s="11"/>
    </row>
    <row r="281" spans="1:21" x14ac:dyDescent="0.2">
      <c r="A281" s="10"/>
      <c r="B281" s="14"/>
      <c r="R281" s="11"/>
      <c r="S281" s="11"/>
      <c r="T281" s="11"/>
      <c r="U281" s="11"/>
    </row>
    <row r="282" spans="1:21" x14ac:dyDescent="0.2">
      <c r="A282" s="10"/>
      <c r="B282" s="14"/>
      <c r="R282" s="11"/>
      <c r="S282" s="11"/>
      <c r="T282" s="11"/>
      <c r="U282" s="11"/>
    </row>
    <row r="283" spans="1:21" x14ac:dyDescent="0.2">
      <c r="A283" s="10"/>
      <c r="B283" s="14"/>
      <c r="R283" s="11"/>
      <c r="S283" s="11"/>
      <c r="T283" s="11"/>
      <c r="U283" s="11"/>
    </row>
    <row r="284" spans="1:21" x14ac:dyDescent="0.2">
      <c r="A284" s="10"/>
      <c r="B284" s="14"/>
      <c r="R284" s="11"/>
      <c r="S284" s="11"/>
      <c r="T284" s="11"/>
      <c r="U284" s="11"/>
    </row>
    <row r="285" spans="1:21" x14ac:dyDescent="0.2">
      <c r="A285" s="10"/>
      <c r="B285" s="14"/>
      <c r="R285" s="11"/>
      <c r="S285" s="11"/>
      <c r="T285" s="11"/>
      <c r="U285" s="11"/>
    </row>
    <row r="286" spans="1:21" x14ac:dyDescent="0.2">
      <c r="A286" s="10"/>
      <c r="B286" s="14"/>
      <c r="R286" s="11"/>
      <c r="S286" s="11"/>
      <c r="T286" s="11"/>
      <c r="U286" s="11"/>
    </row>
    <row r="287" spans="1:21" x14ac:dyDescent="0.2">
      <c r="A287" s="10"/>
      <c r="B287" s="14"/>
      <c r="R287" s="11"/>
      <c r="S287" s="11"/>
      <c r="T287" s="11"/>
      <c r="U287" s="11"/>
    </row>
    <row r="288" spans="1:21" x14ac:dyDescent="0.2">
      <c r="A288" s="10"/>
      <c r="B288" s="14"/>
      <c r="R288" s="11"/>
      <c r="S288" s="11"/>
      <c r="T288" s="11"/>
      <c r="U288" s="11"/>
    </row>
    <row r="289" spans="1:21" x14ac:dyDescent="0.2">
      <c r="A289" s="10"/>
      <c r="B289" s="14"/>
      <c r="R289" s="11"/>
      <c r="S289" s="11"/>
      <c r="T289" s="11"/>
      <c r="U289" s="11"/>
    </row>
    <row r="290" spans="1:21" x14ac:dyDescent="0.2">
      <c r="A290" s="10"/>
      <c r="B290" s="14"/>
      <c r="R290" s="11"/>
      <c r="S290" s="11"/>
      <c r="T290" s="11"/>
      <c r="U290" s="11"/>
    </row>
    <row r="291" spans="1:21" x14ac:dyDescent="0.2">
      <c r="A291" s="10"/>
      <c r="B291" s="14"/>
      <c r="R291" s="11"/>
      <c r="S291" s="11"/>
      <c r="T291" s="11"/>
      <c r="U291" s="11"/>
    </row>
    <row r="292" spans="1:21" x14ac:dyDescent="0.2">
      <c r="A292" s="10"/>
      <c r="B292" s="14"/>
      <c r="R292" s="11"/>
      <c r="S292" s="11"/>
      <c r="T292" s="11"/>
      <c r="U292" s="11"/>
    </row>
    <row r="293" spans="1:21" x14ac:dyDescent="0.2">
      <c r="A293" s="10"/>
      <c r="B293" s="14"/>
      <c r="R293" s="11"/>
      <c r="S293" s="11"/>
      <c r="T293" s="11"/>
      <c r="U293" s="11"/>
    </row>
    <row r="294" spans="1:21" x14ac:dyDescent="0.2">
      <c r="A294" s="10"/>
      <c r="B294" s="14"/>
      <c r="R294" s="11"/>
      <c r="S294" s="11"/>
      <c r="T294" s="11"/>
      <c r="U294" s="11"/>
    </row>
    <row r="295" spans="1:21" x14ac:dyDescent="0.2">
      <c r="A295" s="10"/>
      <c r="B295" s="14"/>
      <c r="R295" s="11"/>
      <c r="S295" s="11"/>
      <c r="T295" s="11"/>
      <c r="U295" s="11"/>
    </row>
    <row r="296" spans="1:21" x14ac:dyDescent="0.2">
      <c r="A296" s="10"/>
      <c r="B296" s="14"/>
      <c r="R296" s="11"/>
      <c r="S296" s="11"/>
      <c r="T296" s="11"/>
      <c r="U296" s="11"/>
    </row>
    <row r="297" spans="1:21" x14ac:dyDescent="0.2">
      <c r="A297" s="10"/>
      <c r="B297" s="14"/>
      <c r="R297" s="11"/>
      <c r="S297" s="11"/>
      <c r="T297" s="11"/>
      <c r="U297" s="11"/>
    </row>
    <row r="298" spans="1:21" x14ac:dyDescent="0.2">
      <c r="A298" s="10"/>
      <c r="B298" s="14"/>
      <c r="R298" s="11"/>
      <c r="S298" s="11"/>
      <c r="T298" s="11"/>
      <c r="U298" s="11"/>
    </row>
    <row r="299" spans="1:21" x14ac:dyDescent="0.2">
      <c r="A299" s="10"/>
      <c r="B299" s="14"/>
      <c r="R299" s="11"/>
      <c r="S299" s="11"/>
      <c r="T299" s="11"/>
      <c r="U299" s="11"/>
    </row>
    <row r="300" spans="1:21" x14ac:dyDescent="0.2">
      <c r="A300" s="10"/>
      <c r="B300" s="14"/>
      <c r="R300" s="11"/>
      <c r="S300" s="11"/>
      <c r="T300" s="11"/>
      <c r="U300" s="11"/>
    </row>
    <row r="301" spans="1:21" x14ac:dyDescent="0.2">
      <c r="A301" s="10"/>
      <c r="B301" s="14"/>
      <c r="R301" s="11"/>
      <c r="S301" s="11"/>
      <c r="T301" s="11"/>
      <c r="U301" s="11"/>
    </row>
    <row r="302" spans="1:21" x14ac:dyDescent="0.2">
      <c r="A302" s="10"/>
      <c r="B302" s="14"/>
      <c r="R302" s="11"/>
      <c r="S302" s="11"/>
      <c r="T302" s="11"/>
      <c r="U302" s="11"/>
    </row>
    <row r="303" spans="1:21" x14ac:dyDescent="0.2">
      <c r="A303" s="10"/>
      <c r="B303" s="14"/>
      <c r="R303" s="11"/>
      <c r="S303" s="11"/>
      <c r="T303" s="11"/>
      <c r="U303" s="11"/>
    </row>
    <row r="304" spans="1:21" x14ac:dyDescent="0.2">
      <c r="A304" s="10"/>
      <c r="B304" s="14"/>
      <c r="R304" s="11"/>
      <c r="S304" s="11"/>
      <c r="T304" s="11"/>
      <c r="U304" s="11"/>
    </row>
    <row r="305" spans="1:21" x14ac:dyDescent="0.2">
      <c r="A305" s="10"/>
      <c r="B305" s="14"/>
      <c r="R305" s="11"/>
      <c r="S305" s="11"/>
      <c r="T305" s="11"/>
      <c r="U305" s="11"/>
    </row>
    <row r="306" spans="1:21" x14ac:dyDescent="0.2">
      <c r="A306" s="10"/>
      <c r="B306" s="14"/>
      <c r="R306" s="11"/>
      <c r="S306" s="11"/>
      <c r="T306" s="11"/>
      <c r="U306" s="11"/>
    </row>
    <row r="307" spans="1:21" x14ac:dyDescent="0.2">
      <c r="A307" s="10"/>
      <c r="B307" s="14"/>
      <c r="R307" s="11"/>
      <c r="S307" s="11"/>
      <c r="T307" s="11"/>
      <c r="U307" s="11"/>
    </row>
    <row r="308" spans="1:21" x14ac:dyDescent="0.2">
      <c r="A308" s="10"/>
      <c r="B308" s="14"/>
      <c r="R308" s="11"/>
      <c r="S308" s="11"/>
      <c r="T308" s="11"/>
      <c r="U308" s="11"/>
    </row>
    <row r="309" spans="1:21" x14ac:dyDescent="0.2">
      <c r="A309" s="10"/>
      <c r="B309" s="14"/>
      <c r="R309" s="11"/>
      <c r="S309" s="11"/>
      <c r="T309" s="11"/>
      <c r="U309" s="11"/>
    </row>
    <row r="310" spans="1:21" x14ac:dyDescent="0.2">
      <c r="A310" s="10"/>
      <c r="B310" s="14"/>
      <c r="R310" s="11"/>
      <c r="S310" s="11"/>
      <c r="T310" s="11"/>
      <c r="U310" s="11"/>
    </row>
    <row r="311" spans="1:21" x14ac:dyDescent="0.2">
      <c r="A311" s="10"/>
      <c r="B311" s="14"/>
      <c r="R311" s="11"/>
      <c r="S311" s="11"/>
      <c r="T311" s="11"/>
      <c r="U311" s="11"/>
    </row>
    <row r="312" spans="1:21" x14ac:dyDescent="0.2">
      <c r="A312" s="10"/>
      <c r="B312" s="14"/>
      <c r="R312" s="11"/>
      <c r="S312" s="11"/>
      <c r="T312" s="11"/>
      <c r="U312" s="11"/>
    </row>
    <row r="313" spans="1:21" x14ac:dyDescent="0.2">
      <c r="A313" s="10"/>
      <c r="B313" s="14"/>
      <c r="R313" s="11"/>
      <c r="S313" s="11"/>
      <c r="T313" s="11"/>
      <c r="U313" s="11"/>
    </row>
    <row r="314" spans="1:21" x14ac:dyDescent="0.2">
      <c r="A314" s="10"/>
      <c r="B314" s="14"/>
      <c r="R314" s="11"/>
      <c r="S314" s="11"/>
      <c r="T314" s="11"/>
      <c r="U314" s="11"/>
    </row>
    <row r="315" spans="1:21" x14ac:dyDescent="0.2">
      <c r="A315" s="10"/>
      <c r="B315" s="14"/>
      <c r="R315" s="11"/>
      <c r="S315" s="11"/>
      <c r="T315" s="11"/>
      <c r="U315" s="11"/>
    </row>
    <row r="316" spans="1:21" x14ac:dyDescent="0.2">
      <c r="A316" s="10"/>
      <c r="B316" s="14"/>
      <c r="R316" s="11"/>
      <c r="S316" s="11"/>
      <c r="T316" s="11"/>
      <c r="U316" s="11"/>
    </row>
    <row r="317" spans="1:21" x14ac:dyDescent="0.2">
      <c r="A317" s="10"/>
      <c r="B317" s="14"/>
      <c r="R317" s="11"/>
      <c r="S317" s="11"/>
      <c r="T317" s="11"/>
      <c r="U317" s="11"/>
    </row>
    <row r="318" spans="1:21" x14ac:dyDescent="0.2">
      <c r="A318" s="10"/>
      <c r="B318" s="14"/>
      <c r="R318" s="11"/>
      <c r="S318" s="11"/>
      <c r="T318" s="11"/>
      <c r="U318" s="11"/>
    </row>
    <row r="319" spans="1:21" x14ac:dyDescent="0.2">
      <c r="A319" s="10"/>
      <c r="B319" s="14"/>
      <c r="R319" s="11"/>
      <c r="S319" s="11"/>
      <c r="T319" s="11"/>
      <c r="U319" s="11"/>
    </row>
    <row r="320" spans="1:21" x14ac:dyDescent="0.2">
      <c r="A320" s="10"/>
      <c r="B320" s="14"/>
      <c r="R320" s="11"/>
      <c r="S320" s="11"/>
      <c r="T320" s="11"/>
      <c r="U320" s="11"/>
    </row>
    <row r="321" spans="1:21" x14ac:dyDescent="0.2">
      <c r="A321" s="10"/>
      <c r="B321" s="14"/>
      <c r="R321" s="11"/>
      <c r="S321" s="11"/>
      <c r="T321" s="11"/>
      <c r="U321" s="11"/>
    </row>
    <row r="322" spans="1:21" x14ac:dyDescent="0.2">
      <c r="A322" s="10"/>
      <c r="B322" s="14"/>
      <c r="R322" s="11"/>
      <c r="S322" s="11"/>
      <c r="T322" s="11"/>
      <c r="U322" s="11"/>
    </row>
    <row r="323" spans="1:21" x14ac:dyDescent="0.2">
      <c r="A323" s="10"/>
      <c r="B323" s="14"/>
      <c r="R323" s="11"/>
      <c r="S323" s="11"/>
      <c r="T323" s="11"/>
      <c r="U323" s="11"/>
    </row>
    <row r="324" spans="1:21" x14ac:dyDescent="0.2">
      <c r="A324" s="10"/>
      <c r="B324" s="14"/>
      <c r="R324" s="11"/>
      <c r="S324" s="11"/>
      <c r="T324" s="11"/>
      <c r="U324" s="11"/>
    </row>
    <row r="325" spans="1:21" x14ac:dyDescent="0.2">
      <c r="A325" s="10"/>
      <c r="B325" s="14"/>
      <c r="R325" s="11"/>
      <c r="S325" s="11"/>
      <c r="T325" s="11"/>
      <c r="U325" s="11"/>
    </row>
    <row r="326" spans="1:21" x14ac:dyDescent="0.2">
      <c r="A326" s="10"/>
      <c r="B326" s="14"/>
      <c r="R326" s="11"/>
      <c r="S326" s="11"/>
      <c r="T326" s="11"/>
      <c r="U326" s="11"/>
    </row>
    <row r="327" spans="1:21" x14ac:dyDescent="0.2">
      <c r="A327" s="10"/>
      <c r="B327" s="14"/>
      <c r="R327" s="11"/>
      <c r="S327" s="11"/>
      <c r="T327" s="11"/>
      <c r="U327" s="11"/>
    </row>
    <row r="328" spans="1:21" x14ac:dyDescent="0.2">
      <c r="A328" s="10"/>
      <c r="B328" s="14"/>
      <c r="R328" s="11"/>
      <c r="S328" s="11"/>
      <c r="T328" s="11"/>
      <c r="U328" s="11"/>
    </row>
    <row r="329" spans="1:21" x14ac:dyDescent="0.2">
      <c r="A329" s="10"/>
      <c r="B329" s="14"/>
      <c r="R329" s="11"/>
      <c r="S329" s="11"/>
      <c r="T329" s="11"/>
      <c r="U329" s="11"/>
    </row>
    <row r="330" spans="1:21" x14ac:dyDescent="0.2">
      <c r="A330" s="10"/>
      <c r="B330" s="14"/>
      <c r="R330" s="11"/>
      <c r="S330" s="11"/>
      <c r="T330" s="11"/>
      <c r="U330" s="11"/>
    </row>
    <row r="331" spans="1:21" x14ac:dyDescent="0.2">
      <c r="A331" s="10"/>
      <c r="B331" s="14"/>
      <c r="R331" s="11"/>
      <c r="S331" s="11"/>
      <c r="T331" s="11"/>
      <c r="U331" s="11"/>
    </row>
    <row r="332" spans="1:21" x14ac:dyDescent="0.2">
      <c r="A332" s="10"/>
      <c r="B332" s="14"/>
      <c r="R332" s="11"/>
      <c r="S332" s="11"/>
      <c r="T332" s="11"/>
      <c r="U332" s="11"/>
    </row>
    <row r="333" spans="1:21" x14ac:dyDescent="0.2">
      <c r="A333" s="10"/>
      <c r="B333" s="14"/>
      <c r="R333" s="11"/>
      <c r="S333" s="11"/>
      <c r="T333" s="11"/>
      <c r="U333" s="11"/>
    </row>
    <row r="334" spans="1:21" x14ac:dyDescent="0.2">
      <c r="A334" s="10"/>
      <c r="B334" s="14"/>
      <c r="R334" s="11"/>
      <c r="S334" s="11"/>
      <c r="T334" s="11"/>
      <c r="U334" s="11"/>
    </row>
    <row r="335" spans="1:21" x14ac:dyDescent="0.2">
      <c r="A335" s="10"/>
      <c r="B335" s="14"/>
      <c r="R335" s="11"/>
      <c r="S335" s="11"/>
      <c r="T335" s="11"/>
      <c r="U335" s="11"/>
    </row>
    <row r="336" spans="1:21" x14ac:dyDescent="0.2">
      <c r="A336" s="10"/>
      <c r="B336" s="14"/>
      <c r="R336" s="11"/>
      <c r="S336" s="11"/>
      <c r="T336" s="11"/>
      <c r="U336" s="11"/>
    </row>
    <row r="337" spans="1:21" x14ac:dyDescent="0.2">
      <c r="A337" s="10"/>
      <c r="B337" s="14"/>
      <c r="R337" s="11"/>
      <c r="S337" s="11"/>
      <c r="T337" s="11"/>
      <c r="U337" s="11"/>
    </row>
    <row r="338" spans="1:21" x14ac:dyDescent="0.2">
      <c r="A338" s="10"/>
      <c r="B338" s="14"/>
      <c r="R338" s="11"/>
      <c r="S338" s="11"/>
      <c r="T338" s="11"/>
      <c r="U338" s="11"/>
    </row>
    <row r="339" spans="1:21" x14ac:dyDescent="0.2">
      <c r="A339" s="10"/>
      <c r="B339" s="14"/>
      <c r="R339" s="11"/>
      <c r="S339" s="11"/>
      <c r="T339" s="11"/>
      <c r="U339" s="11"/>
    </row>
    <row r="340" spans="1:21" x14ac:dyDescent="0.2">
      <c r="A340" s="10"/>
      <c r="B340" s="14"/>
      <c r="R340" s="11"/>
      <c r="S340" s="11"/>
      <c r="T340" s="11"/>
      <c r="U340" s="11"/>
    </row>
    <row r="341" spans="1:21" x14ac:dyDescent="0.2">
      <c r="A341" s="10"/>
      <c r="B341" s="14"/>
      <c r="R341" s="11"/>
      <c r="S341" s="11"/>
      <c r="T341" s="11"/>
      <c r="U341" s="11"/>
    </row>
    <row r="342" spans="1:21" x14ac:dyDescent="0.2">
      <c r="A342" s="10"/>
      <c r="B342" s="14"/>
      <c r="R342" s="11"/>
      <c r="S342" s="11"/>
      <c r="T342" s="11"/>
      <c r="U342" s="11"/>
    </row>
    <row r="343" spans="1:21" x14ac:dyDescent="0.2">
      <c r="A343" s="10"/>
      <c r="B343" s="14"/>
      <c r="R343" s="11"/>
      <c r="S343" s="11"/>
      <c r="T343" s="11"/>
      <c r="U343" s="11"/>
    </row>
    <row r="344" spans="1:21" x14ac:dyDescent="0.2">
      <c r="A344" s="10"/>
      <c r="B344" s="14"/>
      <c r="R344" s="11"/>
      <c r="S344" s="11"/>
      <c r="T344" s="11"/>
      <c r="U344" s="11"/>
    </row>
    <row r="345" spans="1:21" x14ac:dyDescent="0.2">
      <c r="A345" s="10"/>
      <c r="B345" s="14"/>
      <c r="R345" s="11"/>
      <c r="S345" s="11"/>
      <c r="T345" s="11"/>
      <c r="U345" s="11"/>
    </row>
    <row r="346" spans="1:21" x14ac:dyDescent="0.2">
      <c r="A346" s="10"/>
      <c r="B346" s="14"/>
      <c r="R346" s="11"/>
      <c r="S346" s="11"/>
      <c r="T346" s="11"/>
      <c r="U346" s="11"/>
    </row>
    <row r="347" spans="1:21" x14ac:dyDescent="0.2">
      <c r="A347" s="10"/>
      <c r="B347" s="14"/>
      <c r="R347" s="11"/>
      <c r="S347" s="11"/>
      <c r="T347" s="11"/>
      <c r="U347" s="11"/>
    </row>
    <row r="348" spans="1:21" x14ac:dyDescent="0.2">
      <c r="A348" s="10"/>
      <c r="B348" s="14"/>
      <c r="R348" s="11"/>
      <c r="S348" s="11"/>
      <c r="T348" s="11"/>
      <c r="U348" s="11"/>
    </row>
    <row r="349" spans="1:21" x14ac:dyDescent="0.2">
      <c r="A349" s="10"/>
      <c r="B349" s="14"/>
      <c r="R349" s="11"/>
      <c r="S349" s="11"/>
      <c r="T349" s="11"/>
      <c r="U349" s="11"/>
    </row>
    <row r="350" spans="1:21" x14ac:dyDescent="0.2">
      <c r="A350" s="10"/>
      <c r="B350" s="14"/>
      <c r="R350" s="11"/>
      <c r="S350" s="11"/>
      <c r="T350" s="11"/>
      <c r="U350" s="11"/>
    </row>
    <row r="351" spans="1:21" x14ac:dyDescent="0.2">
      <c r="A351" s="10"/>
      <c r="B351" s="14"/>
      <c r="R351" s="11"/>
      <c r="S351" s="11"/>
      <c r="T351" s="11"/>
      <c r="U351" s="11"/>
    </row>
    <row r="352" spans="1:21" x14ac:dyDescent="0.2">
      <c r="A352" s="10"/>
      <c r="B352" s="14"/>
      <c r="R352" s="11"/>
      <c r="S352" s="11"/>
      <c r="T352" s="11"/>
      <c r="U352" s="11"/>
    </row>
    <row r="353" spans="1:21" x14ac:dyDescent="0.2">
      <c r="A353" s="10"/>
      <c r="B353" s="14"/>
      <c r="R353" s="11"/>
      <c r="S353" s="11"/>
      <c r="T353" s="11"/>
      <c r="U353" s="11"/>
    </row>
    <row r="354" spans="1:21" x14ac:dyDescent="0.2">
      <c r="A354" s="10"/>
      <c r="B354" s="14"/>
      <c r="R354" s="11"/>
      <c r="S354" s="11"/>
      <c r="T354" s="11"/>
      <c r="U354" s="11"/>
    </row>
    <row r="355" spans="1:21" x14ac:dyDescent="0.2">
      <c r="A355" s="10"/>
      <c r="B355" s="14"/>
      <c r="R355" s="11"/>
      <c r="S355" s="11"/>
      <c r="T355" s="11"/>
      <c r="U355" s="11"/>
    </row>
    <row r="356" spans="1:21" x14ac:dyDescent="0.2">
      <c r="A356" s="10"/>
      <c r="B356" s="14"/>
      <c r="R356" s="11"/>
      <c r="S356" s="11"/>
      <c r="T356" s="11"/>
      <c r="U356" s="11"/>
    </row>
    <row r="357" spans="1:21" x14ac:dyDescent="0.2">
      <c r="A357" s="10"/>
      <c r="B357" s="14"/>
      <c r="R357" s="11"/>
      <c r="S357" s="11"/>
      <c r="T357" s="11"/>
      <c r="U357" s="11"/>
    </row>
    <row r="358" spans="1:21" x14ac:dyDescent="0.2">
      <c r="A358" s="10"/>
      <c r="B358" s="14"/>
      <c r="R358" s="11"/>
      <c r="S358" s="11"/>
      <c r="T358" s="11"/>
      <c r="U358" s="11"/>
    </row>
    <row r="359" spans="1:21" x14ac:dyDescent="0.2">
      <c r="A359" s="10"/>
      <c r="B359" s="14"/>
      <c r="R359" s="11"/>
      <c r="S359" s="11"/>
      <c r="T359" s="11"/>
      <c r="U359" s="11"/>
    </row>
    <row r="360" spans="1:21" x14ac:dyDescent="0.2">
      <c r="A360" s="10"/>
      <c r="B360" s="14"/>
      <c r="R360" s="11"/>
      <c r="S360" s="11"/>
      <c r="T360" s="11"/>
      <c r="U360" s="11"/>
    </row>
    <row r="361" spans="1:21" x14ac:dyDescent="0.2">
      <c r="A361" s="10"/>
      <c r="B361" s="14"/>
      <c r="R361" s="11"/>
      <c r="S361" s="11"/>
      <c r="T361" s="11"/>
      <c r="U361" s="11"/>
    </row>
    <row r="362" spans="1:21" x14ac:dyDescent="0.2">
      <c r="A362" s="10"/>
      <c r="B362" s="14"/>
      <c r="R362" s="11"/>
      <c r="S362" s="11"/>
      <c r="T362" s="11"/>
      <c r="U362" s="11"/>
    </row>
    <row r="363" spans="1:21" x14ac:dyDescent="0.2">
      <c r="A363" s="10"/>
      <c r="B363" s="14"/>
      <c r="R363" s="11"/>
      <c r="S363" s="11"/>
      <c r="T363" s="11"/>
      <c r="U363" s="11"/>
    </row>
    <row r="364" spans="1:21" x14ac:dyDescent="0.2">
      <c r="A364" s="10"/>
      <c r="B364" s="14"/>
      <c r="R364" s="11"/>
      <c r="S364" s="11"/>
      <c r="T364" s="11"/>
      <c r="U364" s="11"/>
    </row>
    <row r="365" spans="1:21" x14ac:dyDescent="0.2">
      <c r="A365" s="10"/>
      <c r="B365" s="14"/>
      <c r="R365" s="11"/>
      <c r="S365" s="11"/>
      <c r="T365" s="11"/>
      <c r="U365" s="11"/>
    </row>
    <row r="366" spans="1:21" x14ac:dyDescent="0.2">
      <c r="A366" s="10"/>
      <c r="B366" s="14"/>
      <c r="R366" s="11"/>
      <c r="S366" s="11"/>
      <c r="T366" s="11"/>
      <c r="U366" s="11"/>
    </row>
    <row r="367" spans="1:21" x14ac:dyDescent="0.2">
      <c r="A367" s="10"/>
      <c r="B367" s="14"/>
      <c r="R367" s="11"/>
      <c r="S367" s="11"/>
      <c r="T367" s="11"/>
      <c r="U367" s="11"/>
    </row>
    <row r="368" spans="1:21" x14ac:dyDescent="0.2">
      <c r="A368" s="10"/>
      <c r="B368" s="14"/>
      <c r="R368" s="11"/>
      <c r="S368" s="11"/>
      <c r="T368" s="11"/>
      <c r="U368" s="11"/>
    </row>
    <row r="369" spans="1:21" x14ac:dyDescent="0.2">
      <c r="A369" s="10"/>
      <c r="B369" s="14"/>
      <c r="R369" s="11"/>
      <c r="S369" s="11"/>
      <c r="T369" s="11"/>
      <c r="U369" s="11"/>
    </row>
    <row r="370" spans="1:21" x14ac:dyDescent="0.2">
      <c r="A370" s="10"/>
      <c r="B370" s="14"/>
      <c r="R370" s="11"/>
      <c r="S370" s="11"/>
      <c r="T370" s="11"/>
      <c r="U370" s="11"/>
    </row>
    <row r="371" spans="1:21" x14ac:dyDescent="0.2">
      <c r="A371" s="10"/>
      <c r="B371" s="14"/>
      <c r="R371" s="11"/>
      <c r="S371" s="11"/>
      <c r="T371" s="11"/>
      <c r="U371" s="11"/>
    </row>
    <row r="372" spans="1:21" x14ac:dyDescent="0.2">
      <c r="A372" s="10"/>
      <c r="B372" s="14"/>
      <c r="R372" s="11"/>
      <c r="S372" s="11"/>
      <c r="T372" s="11"/>
      <c r="U372" s="11"/>
    </row>
    <row r="373" spans="1:21" x14ac:dyDescent="0.2">
      <c r="A373" s="10"/>
      <c r="B373" s="14"/>
      <c r="R373" s="11"/>
      <c r="S373" s="11"/>
      <c r="T373" s="11"/>
      <c r="U373" s="11"/>
    </row>
    <row r="374" spans="1:21" x14ac:dyDescent="0.2">
      <c r="A374" s="10"/>
      <c r="B374" s="14"/>
      <c r="R374" s="11"/>
      <c r="S374" s="11"/>
      <c r="T374" s="11"/>
      <c r="U374" s="11"/>
    </row>
    <row r="375" spans="1:21" x14ac:dyDescent="0.2">
      <c r="A375" s="10"/>
      <c r="B375" s="14"/>
      <c r="R375" s="11"/>
      <c r="S375" s="11"/>
      <c r="T375" s="11"/>
      <c r="U375" s="11"/>
    </row>
    <row r="376" spans="1:21" x14ac:dyDescent="0.2">
      <c r="A376" s="10"/>
      <c r="B376" s="14"/>
      <c r="R376" s="11"/>
      <c r="S376" s="11"/>
      <c r="T376" s="11"/>
      <c r="U376" s="11"/>
    </row>
    <row r="377" spans="1:21" x14ac:dyDescent="0.2">
      <c r="A377" s="10"/>
      <c r="B377" s="14"/>
      <c r="R377" s="11"/>
      <c r="S377" s="11"/>
      <c r="T377" s="11"/>
      <c r="U377" s="11"/>
    </row>
    <row r="378" spans="1:21" x14ac:dyDescent="0.2">
      <c r="A378" s="10"/>
      <c r="B378" s="14"/>
      <c r="R378" s="11"/>
      <c r="S378" s="11"/>
      <c r="T378" s="11"/>
      <c r="U378" s="11"/>
    </row>
    <row r="379" spans="1:21" x14ac:dyDescent="0.2">
      <c r="A379" s="10"/>
      <c r="B379" s="14"/>
      <c r="R379" s="11"/>
      <c r="S379" s="11"/>
      <c r="T379" s="11"/>
      <c r="U379" s="11"/>
    </row>
    <row r="380" spans="1:21" x14ac:dyDescent="0.2">
      <c r="A380" s="10"/>
      <c r="B380" s="14"/>
      <c r="R380" s="11"/>
      <c r="S380" s="11"/>
      <c r="T380" s="11"/>
      <c r="U380" s="11"/>
    </row>
    <row r="381" spans="1:21" x14ac:dyDescent="0.2">
      <c r="A381" s="10"/>
      <c r="B381" s="14"/>
      <c r="R381" s="11"/>
      <c r="S381" s="11"/>
      <c r="T381" s="11"/>
      <c r="U381" s="11"/>
    </row>
    <row r="382" spans="1:21" x14ac:dyDescent="0.2">
      <c r="A382" s="10"/>
      <c r="B382" s="14"/>
      <c r="R382" s="11"/>
      <c r="S382" s="11"/>
      <c r="T382" s="11"/>
      <c r="U382" s="11"/>
    </row>
    <row r="383" spans="1:21" x14ac:dyDescent="0.2">
      <c r="A383" s="10"/>
      <c r="B383" s="14"/>
      <c r="R383" s="11"/>
      <c r="S383" s="11"/>
      <c r="T383" s="11"/>
      <c r="U383" s="11"/>
    </row>
    <row r="384" spans="1:21" x14ac:dyDescent="0.2">
      <c r="A384" s="10"/>
      <c r="B384" s="14"/>
      <c r="R384" s="11"/>
      <c r="S384" s="11"/>
      <c r="T384" s="11"/>
      <c r="U384" s="11"/>
    </row>
    <row r="385" spans="1:21" x14ac:dyDescent="0.2">
      <c r="A385" s="10"/>
      <c r="B385" s="14"/>
      <c r="R385" s="11"/>
      <c r="S385" s="11"/>
      <c r="T385" s="11"/>
      <c r="U385" s="11"/>
    </row>
    <row r="386" spans="1:21" x14ac:dyDescent="0.2">
      <c r="A386" s="10"/>
      <c r="B386" s="14"/>
      <c r="R386" s="11"/>
      <c r="S386" s="11"/>
      <c r="T386" s="11"/>
      <c r="U386" s="11"/>
    </row>
    <row r="387" spans="1:21" x14ac:dyDescent="0.2">
      <c r="A387" s="10"/>
      <c r="B387" s="14"/>
      <c r="R387" s="11"/>
      <c r="S387" s="11"/>
      <c r="T387" s="11"/>
      <c r="U387" s="11"/>
    </row>
    <row r="388" spans="1:21" x14ac:dyDescent="0.2">
      <c r="A388" s="10"/>
      <c r="B388" s="14"/>
      <c r="R388" s="11"/>
      <c r="S388" s="11"/>
      <c r="T388" s="11"/>
      <c r="U388" s="11"/>
    </row>
    <row r="389" spans="1:21" x14ac:dyDescent="0.2">
      <c r="A389" s="10"/>
      <c r="B389" s="14"/>
      <c r="R389" s="11"/>
      <c r="S389" s="11"/>
      <c r="T389" s="11"/>
      <c r="U389" s="11"/>
    </row>
    <row r="390" spans="1:21" x14ac:dyDescent="0.2">
      <c r="A390" s="10"/>
      <c r="B390" s="14"/>
      <c r="R390" s="11"/>
      <c r="S390" s="11"/>
      <c r="T390" s="11"/>
      <c r="U390" s="11"/>
    </row>
    <row r="391" spans="1:21" x14ac:dyDescent="0.2">
      <c r="A391" s="10"/>
      <c r="B391" s="14"/>
      <c r="R391" s="11"/>
      <c r="S391" s="11"/>
      <c r="T391" s="11"/>
      <c r="U391" s="11"/>
    </row>
    <row r="392" spans="1:21" x14ac:dyDescent="0.2">
      <c r="A392" s="10"/>
      <c r="B392" s="14"/>
      <c r="R392" s="11"/>
      <c r="S392" s="11"/>
      <c r="T392" s="11"/>
      <c r="U392" s="11"/>
    </row>
    <row r="393" spans="1:21" x14ac:dyDescent="0.2">
      <c r="A393" s="10"/>
      <c r="B393" s="14"/>
      <c r="R393" s="11"/>
      <c r="S393" s="11"/>
      <c r="T393" s="11"/>
      <c r="U393" s="11"/>
    </row>
    <row r="394" spans="1:21" x14ac:dyDescent="0.2">
      <c r="A394" s="10"/>
      <c r="B394" s="14"/>
      <c r="R394" s="11"/>
      <c r="S394" s="11"/>
      <c r="T394" s="11"/>
      <c r="U394" s="11"/>
    </row>
    <row r="395" spans="1:21" x14ac:dyDescent="0.2">
      <c r="A395" s="10"/>
      <c r="B395" s="14"/>
      <c r="R395" s="11"/>
      <c r="S395" s="11"/>
      <c r="T395" s="11"/>
      <c r="U395" s="11"/>
    </row>
    <row r="396" spans="1:21" x14ac:dyDescent="0.2">
      <c r="A396" s="10"/>
      <c r="B396" s="14"/>
      <c r="R396" s="11"/>
      <c r="S396" s="11"/>
      <c r="T396" s="11"/>
      <c r="U396" s="11"/>
    </row>
    <row r="397" spans="1:21" x14ac:dyDescent="0.2">
      <c r="A397" s="10"/>
      <c r="B397" s="14"/>
      <c r="R397" s="11"/>
      <c r="S397" s="11"/>
      <c r="T397" s="11"/>
      <c r="U397" s="11"/>
    </row>
    <row r="398" spans="1:21" x14ac:dyDescent="0.2">
      <c r="A398" s="10"/>
      <c r="B398" s="14"/>
      <c r="R398" s="11"/>
      <c r="S398" s="11"/>
      <c r="T398" s="11"/>
      <c r="U398" s="11"/>
    </row>
    <row r="399" spans="1:21" x14ac:dyDescent="0.2">
      <c r="A399" s="10"/>
      <c r="B399" s="14"/>
      <c r="R399" s="11"/>
      <c r="S399" s="11"/>
      <c r="T399" s="11"/>
      <c r="U399" s="11"/>
    </row>
    <row r="400" spans="1:21" x14ac:dyDescent="0.2">
      <c r="A400" s="10"/>
      <c r="B400" s="14"/>
      <c r="R400" s="11"/>
      <c r="S400" s="11"/>
      <c r="T400" s="11"/>
      <c r="U400" s="11"/>
    </row>
    <row r="401" spans="1:21" x14ac:dyDescent="0.2">
      <c r="A401" s="10"/>
      <c r="B401" s="14"/>
      <c r="R401" s="11"/>
      <c r="S401" s="11"/>
      <c r="T401" s="11"/>
      <c r="U401" s="11"/>
    </row>
    <row r="402" spans="1:21" x14ac:dyDescent="0.2">
      <c r="A402" s="10"/>
      <c r="B402" s="14"/>
      <c r="R402" s="11"/>
      <c r="S402" s="11"/>
      <c r="T402" s="11"/>
      <c r="U402" s="11"/>
    </row>
    <row r="403" spans="1:21" x14ac:dyDescent="0.2">
      <c r="A403" s="10"/>
      <c r="B403" s="14"/>
      <c r="R403" s="11"/>
      <c r="S403" s="11"/>
      <c r="T403" s="11"/>
      <c r="U403" s="11"/>
    </row>
    <row r="404" spans="1:21" x14ac:dyDescent="0.2">
      <c r="A404" s="10"/>
      <c r="B404" s="14"/>
      <c r="R404" s="11"/>
      <c r="S404" s="11"/>
      <c r="T404" s="11"/>
      <c r="U404" s="11"/>
    </row>
    <row r="405" spans="1:21" x14ac:dyDescent="0.2">
      <c r="A405" s="10"/>
      <c r="B405" s="14"/>
      <c r="R405" s="11"/>
      <c r="S405" s="11"/>
      <c r="T405" s="11"/>
      <c r="U405" s="11"/>
    </row>
    <row r="406" spans="1:21" x14ac:dyDescent="0.2">
      <c r="A406" s="10"/>
      <c r="B406" s="14"/>
      <c r="R406" s="11"/>
      <c r="S406" s="11"/>
      <c r="T406" s="11"/>
      <c r="U406" s="11"/>
    </row>
    <row r="407" spans="1:21" x14ac:dyDescent="0.2">
      <c r="A407" s="10"/>
      <c r="B407" s="14"/>
      <c r="R407" s="11"/>
      <c r="S407" s="11"/>
      <c r="T407" s="11"/>
      <c r="U407" s="11"/>
    </row>
    <row r="408" spans="1:21" x14ac:dyDescent="0.2">
      <c r="A408" s="10"/>
      <c r="B408" s="14"/>
      <c r="R408" s="11"/>
      <c r="S408" s="11"/>
      <c r="T408" s="11"/>
      <c r="U408" s="11"/>
    </row>
    <row r="409" spans="1:21" x14ac:dyDescent="0.2">
      <c r="A409" s="10"/>
      <c r="B409" s="14"/>
      <c r="R409" s="11"/>
      <c r="S409" s="11"/>
      <c r="T409" s="11"/>
      <c r="U409" s="11"/>
    </row>
    <row r="410" spans="1:21" x14ac:dyDescent="0.2">
      <c r="A410" s="10"/>
      <c r="B410" s="14"/>
      <c r="R410" s="11"/>
      <c r="S410" s="11"/>
      <c r="T410" s="11"/>
      <c r="U410" s="11"/>
    </row>
    <row r="411" spans="1:21" x14ac:dyDescent="0.2">
      <c r="A411" s="10"/>
      <c r="B411" s="14"/>
      <c r="R411" s="11"/>
      <c r="S411" s="11"/>
      <c r="T411" s="11"/>
      <c r="U411" s="11"/>
    </row>
    <row r="412" spans="1:21" x14ac:dyDescent="0.2">
      <c r="A412" s="10"/>
      <c r="B412" s="14"/>
      <c r="R412" s="11"/>
      <c r="S412" s="11"/>
      <c r="T412" s="11"/>
      <c r="U412" s="11"/>
    </row>
    <row r="413" spans="1:21" x14ac:dyDescent="0.2">
      <c r="A413" s="10"/>
      <c r="B413" s="14"/>
      <c r="R413" s="11"/>
      <c r="S413" s="11"/>
      <c r="T413" s="11"/>
      <c r="U413" s="11"/>
    </row>
    <row r="414" spans="1:21" x14ac:dyDescent="0.2">
      <c r="A414" s="10"/>
      <c r="B414" s="14"/>
      <c r="R414" s="11"/>
      <c r="S414" s="11"/>
      <c r="T414" s="11"/>
      <c r="U414" s="11"/>
    </row>
    <row r="415" spans="1:21" x14ac:dyDescent="0.2">
      <c r="A415" s="10"/>
      <c r="B415" s="14"/>
      <c r="R415" s="11"/>
      <c r="S415" s="11"/>
      <c r="T415" s="11"/>
      <c r="U415" s="11"/>
    </row>
    <row r="416" spans="1:21" x14ac:dyDescent="0.2">
      <c r="A416" s="10"/>
      <c r="B416" s="14"/>
      <c r="R416" s="11"/>
      <c r="S416" s="11"/>
      <c r="T416" s="11"/>
      <c r="U416" s="11"/>
    </row>
    <row r="417" spans="1:21" x14ac:dyDescent="0.2">
      <c r="A417" s="10"/>
      <c r="B417" s="14"/>
      <c r="R417" s="11"/>
      <c r="S417" s="11"/>
      <c r="T417" s="11"/>
      <c r="U417" s="11"/>
    </row>
    <row r="418" spans="1:21" x14ac:dyDescent="0.2">
      <c r="A418" s="10"/>
      <c r="B418" s="14"/>
      <c r="R418" s="11"/>
      <c r="S418" s="11"/>
      <c r="T418" s="11"/>
      <c r="U418" s="11"/>
    </row>
    <row r="419" spans="1:21" x14ac:dyDescent="0.2">
      <c r="A419" s="10"/>
      <c r="B419" s="14"/>
      <c r="R419" s="11"/>
      <c r="S419" s="11"/>
      <c r="T419" s="11"/>
      <c r="U419" s="11"/>
    </row>
    <row r="420" spans="1:21" x14ac:dyDescent="0.2">
      <c r="A420" s="10"/>
      <c r="B420" s="14"/>
      <c r="R420" s="11"/>
      <c r="S420" s="11"/>
      <c r="T420" s="11"/>
      <c r="U420" s="11"/>
    </row>
    <row r="421" spans="1:21" x14ac:dyDescent="0.2">
      <c r="A421" s="10"/>
      <c r="B421" s="14"/>
      <c r="R421" s="11"/>
      <c r="S421" s="11"/>
      <c r="T421" s="11"/>
      <c r="U421" s="11"/>
    </row>
    <row r="422" spans="1:21" x14ac:dyDescent="0.2">
      <c r="A422" s="10"/>
      <c r="B422" s="14"/>
      <c r="R422" s="11"/>
      <c r="S422" s="11"/>
      <c r="T422" s="11"/>
      <c r="U422" s="11"/>
    </row>
    <row r="423" spans="1:21" x14ac:dyDescent="0.2">
      <c r="A423" s="10"/>
      <c r="B423" s="14"/>
      <c r="R423" s="11"/>
      <c r="S423" s="11"/>
      <c r="T423" s="11"/>
      <c r="U423" s="11"/>
    </row>
    <row r="424" spans="1:21" x14ac:dyDescent="0.2">
      <c r="A424" s="10"/>
      <c r="B424" s="14"/>
      <c r="R424" s="11"/>
      <c r="S424" s="11"/>
      <c r="T424" s="11"/>
      <c r="U424" s="11"/>
    </row>
    <row r="425" spans="1:21" x14ac:dyDescent="0.2">
      <c r="A425" s="10"/>
      <c r="B425" s="14"/>
      <c r="R425" s="11"/>
      <c r="S425" s="11"/>
      <c r="T425" s="11"/>
      <c r="U425" s="11"/>
    </row>
    <row r="426" spans="1:21" x14ac:dyDescent="0.2">
      <c r="A426" s="10"/>
      <c r="B426" s="14"/>
      <c r="R426" s="11"/>
      <c r="S426" s="11"/>
      <c r="T426" s="11"/>
      <c r="U426" s="11"/>
    </row>
    <row r="427" spans="1:21" x14ac:dyDescent="0.2">
      <c r="A427" s="10"/>
      <c r="B427" s="14"/>
      <c r="R427" s="11"/>
      <c r="S427" s="11"/>
      <c r="T427" s="11"/>
      <c r="U427" s="11"/>
    </row>
    <row r="428" spans="1:21" x14ac:dyDescent="0.2">
      <c r="A428" s="10"/>
      <c r="B428" s="14"/>
      <c r="R428" s="11"/>
      <c r="S428" s="11"/>
      <c r="T428" s="11"/>
      <c r="U428" s="11"/>
    </row>
    <row r="429" spans="1:21" x14ac:dyDescent="0.2">
      <c r="A429" s="10"/>
      <c r="B429" s="14"/>
      <c r="R429" s="11"/>
      <c r="S429" s="11"/>
      <c r="T429" s="11"/>
      <c r="U429" s="11"/>
    </row>
    <row r="430" spans="1:21" x14ac:dyDescent="0.2">
      <c r="A430" s="10"/>
      <c r="B430" s="14"/>
      <c r="R430" s="11"/>
      <c r="S430" s="11"/>
      <c r="T430" s="11"/>
      <c r="U430" s="11"/>
    </row>
    <row r="431" spans="1:21" x14ac:dyDescent="0.2">
      <c r="A431" s="10"/>
      <c r="B431" s="14"/>
      <c r="R431" s="11"/>
      <c r="S431" s="11"/>
      <c r="T431" s="11"/>
      <c r="U431" s="11"/>
    </row>
    <row r="432" spans="1:21" x14ac:dyDescent="0.2">
      <c r="A432" s="10"/>
      <c r="B432" s="14"/>
      <c r="R432" s="11"/>
      <c r="S432" s="11"/>
      <c r="T432" s="11"/>
      <c r="U432" s="11"/>
    </row>
    <row r="433" spans="1:21" x14ac:dyDescent="0.2">
      <c r="A433" s="10"/>
      <c r="B433" s="14"/>
      <c r="R433" s="11"/>
      <c r="S433" s="11"/>
      <c r="T433" s="11"/>
      <c r="U433" s="11"/>
    </row>
    <row r="434" spans="1:21" x14ac:dyDescent="0.2">
      <c r="A434" s="10"/>
      <c r="B434" s="14"/>
      <c r="R434" s="11"/>
      <c r="S434" s="11"/>
      <c r="T434" s="11"/>
      <c r="U434" s="11"/>
    </row>
    <row r="435" spans="1:21" x14ac:dyDescent="0.2">
      <c r="A435" s="10"/>
      <c r="B435" s="14"/>
      <c r="R435" s="11"/>
      <c r="S435" s="11"/>
      <c r="T435" s="11"/>
      <c r="U435" s="11"/>
    </row>
    <row r="436" spans="1:21" x14ac:dyDescent="0.2">
      <c r="A436" s="10"/>
      <c r="B436" s="14"/>
      <c r="R436" s="11"/>
      <c r="S436" s="11"/>
      <c r="T436" s="11"/>
      <c r="U436" s="11"/>
    </row>
    <row r="437" spans="1:21" x14ac:dyDescent="0.2">
      <c r="A437" s="10"/>
      <c r="B437" s="14"/>
      <c r="R437" s="11"/>
      <c r="S437" s="11"/>
      <c r="T437" s="11"/>
      <c r="U437" s="11"/>
    </row>
    <row r="438" spans="1:21" x14ac:dyDescent="0.2">
      <c r="A438" s="10"/>
      <c r="B438" s="14"/>
      <c r="R438" s="11"/>
      <c r="S438" s="11"/>
      <c r="T438" s="11"/>
      <c r="U438" s="11"/>
    </row>
    <row r="439" spans="1:21" x14ac:dyDescent="0.2">
      <c r="A439" s="10"/>
      <c r="B439" s="14"/>
      <c r="R439" s="11"/>
      <c r="S439" s="11"/>
      <c r="T439" s="11"/>
      <c r="U439" s="11"/>
    </row>
    <row r="440" spans="1:21" x14ac:dyDescent="0.2">
      <c r="A440" s="10"/>
      <c r="B440" s="14"/>
      <c r="R440" s="11"/>
      <c r="S440" s="11"/>
      <c r="T440" s="11"/>
      <c r="U440" s="11"/>
    </row>
    <row r="441" spans="1:21" x14ac:dyDescent="0.2">
      <c r="A441" s="10"/>
      <c r="B441" s="14"/>
      <c r="R441" s="11"/>
      <c r="S441" s="11"/>
      <c r="T441" s="11"/>
      <c r="U441" s="11"/>
    </row>
    <row r="442" spans="1:21" x14ac:dyDescent="0.2">
      <c r="A442" s="10"/>
      <c r="B442" s="14"/>
      <c r="R442" s="11"/>
      <c r="S442" s="11"/>
      <c r="T442" s="11"/>
      <c r="U442" s="11"/>
    </row>
    <row r="443" spans="1:21" x14ac:dyDescent="0.2">
      <c r="A443" s="10"/>
      <c r="B443" s="14"/>
      <c r="R443" s="11"/>
      <c r="S443" s="11"/>
      <c r="T443" s="11"/>
      <c r="U443" s="11"/>
    </row>
    <row r="444" spans="1:21" x14ac:dyDescent="0.2">
      <c r="A444" s="10"/>
      <c r="B444" s="14"/>
      <c r="R444" s="11"/>
      <c r="S444" s="11"/>
      <c r="T444" s="11"/>
      <c r="U444" s="11"/>
    </row>
    <row r="445" spans="1:21" x14ac:dyDescent="0.2">
      <c r="A445" s="10"/>
      <c r="B445" s="14"/>
      <c r="R445" s="11"/>
      <c r="S445" s="11"/>
      <c r="T445" s="11"/>
      <c r="U445" s="11"/>
    </row>
    <row r="446" spans="1:21" x14ac:dyDescent="0.2">
      <c r="A446" s="10"/>
      <c r="B446" s="14"/>
      <c r="R446" s="11"/>
      <c r="S446" s="11"/>
      <c r="T446" s="11"/>
      <c r="U446" s="11"/>
    </row>
    <row r="447" spans="1:21" x14ac:dyDescent="0.2">
      <c r="A447" s="10"/>
      <c r="B447" s="14"/>
      <c r="R447" s="11"/>
      <c r="S447" s="11"/>
      <c r="T447" s="11"/>
      <c r="U447" s="11"/>
    </row>
    <row r="448" spans="1:21" x14ac:dyDescent="0.2">
      <c r="A448" s="10"/>
      <c r="B448" s="14"/>
      <c r="R448" s="11"/>
      <c r="S448" s="11"/>
      <c r="T448" s="11"/>
      <c r="U448" s="11"/>
    </row>
    <row r="449" spans="1:21" x14ac:dyDescent="0.2">
      <c r="A449" s="10"/>
      <c r="B449" s="14"/>
      <c r="R449" s="11"/>
      <c r="S449" s="11"/>
      <c r="T449" s="11"/>
      <c r="U449" s="11"/>
    </row>
    <row r="450" spans="1:21" x14ac:dyDescent="0.2">
      <c r="A450" s="10"/>
      <c r="B450" s="14"/>
      <c r="R450" s="11"/>
      <c r="S450" s="11"/>
      <c r="T450" s="11"/>
      <c r="U450" s="11"/>
    </row>
    <row r="451" spans="1:21" x14ac:dyDescent="0.2">
      <c r="A451" s="10"/>
      <c r="B451" s="14"/>
      <c r="R451" s="11"/>
      <c r="S451" s="11"/>
      <c r="T451" s="11"/>
      <c r="U451" s="11"/>
    </row>
    <row r="452" spans="1:21" x14ac:dyDescent="0.2">
      <c r="A452" s="10"/>
      <c r="B452" s="14"/>
      <c r="R452" s="11"/>
      <c r="S452" s="11"/>
      <c r="T452" s="11"/>
      <c r="U452" s="11"/>
    </row>
    <row r="453" spans="1:21" x14ac:dyDescent="0.2">
      <c r="A453" s="10"/>
      <c r="B453" s="14"/>
      <c r="R453" s="11"/>
      <c r="S453" s="11"/>
      <c r="T453" s="11"/>
      <c r="U453" s="11"/>
    </row>
    <row r="454" spans="1:21" x14ac:dyDescent="0.2">
      <c r="A454" s="10"/>
      <c r="B454" s="14"/>
      <c r="R454" s="11"/>
      <c r="S454" s="11"/>
      <c r="T454" s="11"/>
      <c r="U454" s="11"/>
    </row>
    <row r="455" spans="1:21" x14ac:dyDescent="0.2">
      <c r="A455" s="10"/>
      <c r="B455" s="14"/>
      <c r="R455" s="11"/>
      <c r="S455" s="11"/>
      <c r="T455" s="11"/>
      <c r="U455" s="11"/>
    </row>
    <row r="456" spans="1:21" x14ac:dyDescent="0.2">
      <c r="A456" s="10"/>
      <c r="B456" s="14"/>
      <c r="R456" s="11"/>
      <c r="S456" s="11"/>
      <c r="T456" s="11"/>
      <c r="U456" s="11"/>
    </row>
    <row r="457" spans="1:21" x14ac:dyDescent="0.2">
      <c r="A457" s="10"/>
      <c r="B457" s="14"/>
      <c r="R457" s="11"/>
      <c r="S457" s="11"/>
      <c r="T457" s="11"/>
      <c r="U457" s="11"/>
    </row>
    <row r="458" spans="1:21" x14ac:dyDescent="0.2">
      <c r="A458" s="10"/>
      <c r="B458" s="14"/>
      <c r="R458" s="11"/>
      <c r="S458" s="11"/>
      <c r="T458" s="11"/>
      <c r="U458" s="11"/>
    </row>
    <row r="459" spans="1:21" x14ac:dyDescent="0.2">
      <c r="A459" s="10"/>
      <c r="B459" s="14"/>
      <c r="R459" s="11"/>
      <c r="S459" s="11"/>
      <c r="T459" s="11"/>
      <c r="U459" s="11"/>
    </row>
    <row r="460" spans="1:21" x14ac:dyDescent="0.2">
      <c r="A460" s="10"/>
      <c r="B460" s="14"/>
      <c r="R460" s="11"/>
      <c r="S460" s="11"/>
      <c r="T460" s="11"/>
      <c r="U460" s="11"/>
    </row>
    <row r="461" spans="1:21" x14ac:dyDescent="0.2">
      <c r="A461" s="10"/>
      <c r="B461" s="14"/>
      <c r="R461" s="11"/>
      <c r="S461" s="11"/>
      <c r="T461" s="11"/>
      <c r="U461" s="11"/>
    </row>
    <row r="462" spans="1:21" x14ac:dyDescent="0.2">
      <c r="A462" s="10"/>
      <c r="B462" s="14"/>
      <c r="R462" s="11"/>
      <c r="S462" s="11"/>
      <c r="T462" s="11"/>
      <c r="U462" s="11"/>
    </row>
    <row r="463" spans="1:21" x14ac:dyDescent="0.2">
      <c r="A463" s="10"/>
      <c r="B463" s="14"/>
      <c r="R463" s="11"/>
      <c r="S463" s="11"/>
      <c r="T463" s="11"/>
      <c r="U463" s="11"/>
    </row>
    <row r="464" spans="1:21" x14ac:dyDescent="0.2">
      <c r="A464" s="10"/>
      <c r="B464" s="14"/>
      <c r="R464" s="11"/>
      <c r="S464" s="11"/>
      <c r="T464" s="11"/>
      <c r="U464" s="11"/>
    </row>
    <row r="465" spans="1:21" x14ac:dyDescent="0.2">
      <c r="A465" s="10"/>
      <c r="B465" s="14"/>
      <c r="R465" s="11"/>
      <c r="S465" s="11"/>
      <c r="T465" s="11"/>
      <c r="U465" s="11"/>
    </row>
    <row r="466" spans="1:21" x14ac:dyDescent="0.2">
      <c r="A466" s="10"/>
      <c r="B466" s="14"/>
      <c r="R466" s="11"/>
      <c r="S466" s="11"/>
      <c r="T466" s="11"/>
      <c r="U466" s="11"/>
    </row>
    <row r="467" spans="1:21" x14ac:dyDescent="0.2">
      <c r="A467" s="10"/>
      <c r="B467" s="14"/>
      <c r="R467" s="11"/>
      <c r="S467" s="11"/>
      <c r="T467" s="11"/>
      <c r="U467" s="11"/>
    </row>
    <row r="468" spans="1:21" x14ac:dyDescent="0.2">
      <c r="A468" s="10"/>
      <c r="B468" s="14"/>
      <c r="R468" s="11"/>
      <c r="S468" s="11"/>
      <c r="T468" s="11"/>
      <c r="U468" s="11"/>
    </row>
    <row r="469" spans="1:21" x14ac:dyDescent="0.2">
      <c r="A469" s="10"/>
      <c r="B469" s="14"/>
      <c r="R469" s="11"/>
      <c r="S469" s="11"/>
      <c r="T469" s="11"/>
      <c r="U469" s="11"/>
    </row>
    <row r="470" spans="1:21" x14ac:dyDescent="0.2">
      <c r="A470" s="10"/>
      <c r="B470" s="14"/>
      <c r="R470" s="11"/>
      <c r="S470" s="11"/>
      <c r="T470" s="11"/>
      <c r="U470" s="11"/>
    </row>
    <row r="471" spans="1:21" x14ac:dyDescent="0.2">
      <c r="A471" s="10"/>
      <c r="B471" s="14"/>
      <c r="R471" s="11"/>
      <c r="S471" s="11"/>
      <c r="T471" s="11"/>
      <c r="U471" s="11"/>
    </row>
    <row r="472" spans="1:21" x14ac:dyDescent="0.2">
      <c r="A472" s="10"/>
      <c r="B472" s="14"/>
      <c r="R472" s="11"/>
      <c r="S472" s="11"/>
      <c r="T472" s="11"/>
      <c r="U472" s="11"/>
    </row>
    <row r="473" spans="1:21" x14ac:dyDescent="0.2">
      <c r="A473" s="10"/>
      <c r="B473" s="14"/>
      <c r="R473" s="11"/>
      <c r="S473" s="11"/>
      <c r="T473" s="11"/>
      <c r="U473" s="11"/>
    </row>
    <row r="474" spans="1:21" x14ac:dyDescent="0.2">
      <c r="A474" s="10"/>
      <c r="B474" s="14"/>
      <c r="R474" s="11"/>
      <c r="S474" s="11"/>
      <c r="T474" s="11"/>
      <c r="U474" s="11"/>
    </row>
    <row r="475" spans="1:21" x14ac:dyDescent="0.2">
      <c r="A475" s="10"/>
      <c r="B475" s="14"/>
      <c r="R475" s="11"/>
      <c r="S475" s="11"/>
      <c r="T475" s="11"/>
      <c r="U475" s="11"/>
    </row>
    <row r="476" spans="1:21" x14ac:dyDescent="0.2">
      <c r="A476" s="10"/>
      <c r="B476" s="14"/>
      <c r="R476" s="11"/>
      <c r="S476" s="11"/>
      <c r="T476" s="11"/>
      <c r="U476" s="11"/>
    </row>
    <row r="477" spans="1:21" x14ac:dyDescent="0.2">
      <c r="A477" s="10"/>
      <c r="B477" s="14"/>
      <c r="R477" s="11"/>
      <c r="S477" s="11"/>
      <c r="T477" s="11"/>
      <c r="U477" s="11"/>
    </row>
    <row r="478" spans="1:21" x14ac:dyDescent="0.2">
      <c r="A478" s="10"/>
      <c r="B478" s="14"/>
      <c r="R478" s="11"/>
      <c r="S478" s="11"/>
      <c r="T478" s="11"/>
      <c r="U478" s="11"/>
    </row>
    <row r="479" spans="1:21" x14ac:dyDescent="0.2">
      <c r="A479" s="10"/>
      <c r="B479" s="14"/>
      <c r="R479" s="11"/>
      <c r="S479" s="11"/>
      <c r="T479" s="11"/>
      <c r="U479" s="11"/>
    </row>
    <row r="480" spans="1:21" x14ac:dyDescent="0.2">
      <c r="A480" s="10"/>
      <c r="B480" s="14"/>
      <c r="R480" s="11"/>
      <c r="S480" s="11"/>
      <c r="T480" s="11"/>
      <c r="U480" s="11"/>
    </row>
    <row r="481" spans="1:21" x14ac:dyDescent="0.2">
      <c r="A481" s="10"/>
      <c r="B481" s="14"/>
      <c r="R481" s="11"/>
      <c r="S481" s="11"/>
      <c r="T481" s="11"/>
      <c r="U481" s="11"/>
    </row>
    <row r="482" spans="1:21" x14ac:dyDescent="0.2">
      <c r="A482" s="10"/>
      <c r="B482" s="14"/>
      <c r="R482" s="11"/>
      <c r="S482" s="11"/>
      <c r="T482" s="11"/>
      <c r="U482" s="11"/>
    </row>
    <row r="483" spans="1:21" x14ac:dyDescent="0.2">
      <c r="A483" s="10"/>
      <c r="B483" s="14"/>
      <c r="R483" s="11"/>
      <c r="S483" s="11"/>
      <c r="T483" s="11"/>
      <c r="U483" s="11"/>
    </row>
    <row r="484" spans="1:21" x14ac:dyDescent="0.2">
      <c r="A484" s="10"/>
      <c r="B484" s="14"/>
      <c r="R484" s="11"/>
      <c r="S484" s="11"/>
      <c r="T484" s="11"/>
      <c r="U484" s="11"/>
    </row>
    <row r="485" spans="1:21" x14ac:dyDescent="0.2">
      <c r="A485" s="10"/>
      <c r="B485" s="14"/>
      <c r="R485" s="11"/>
      <c r="S485" s="11"/>
      <c r="T485" s="11"/>
      <c r="U485" s="11"/>
    </row>
    <row r="486" spans="1:21" x14ac:dyDescent="0.2">
      <c r="A486" s="10"/>
      <c r="B486" s="14"/>
      <c r="R486" s="11"/>
      <c r="S486" s="11"/>
      <c r="T486" s="11"/>
      <c r="U486" s="11"/>
    </row>
    <row r="487" spans="1:21" x14ac:dyDescent="0.2">
      <c r="A487" s="10"/>
      <c r="B487" s="14"/>
      <c r="R487" s="11"/>
      <c r="S487" s="11"/>
      <c r="T487" s="11"/>
      <c r="U487" s="11"/>
    </row>
    <row r="488" spans="1:21" x14ac:dyDescent="0.2">
      <c r="A488" s="10"/>
      <c r="B488" s="14"/>
      <c r="R488" s="11"/>
      <c r="S488" s="11"/>
      <c r="T488" s="11"/>
      <c r="U488" s="11"/>
    </row>
    <row r="489" spans="1:21" x14ac:dyDescent="0.2">
      <c r="A489" s="10"/>
      <c r="B489" s="14"/>
      <c r="R489" s="11"/>
      <c r="S489" s="11"/>
      <c r="T489" s="11"/>
      <c r="U489" s="11"/>
    </row>
    <row r="490" spans="1:21" x14ac:dyDescent="0.2">
      <c r="A490" s="10"/>
      <c r="B490" s="14"/>
      <c r="R490" s="11"/>
      <c r="S490" s="11"/>
      <c r="T490" s="11"/>
      <c r="U490" s="11"/>
    </row>
    <row r="491" spans="1:21" x14ac:dyDescent="0.2">
      <c r="A491" s="10"/>
      <c r="B491" s="14"/>
      <c r="R491" s="11"/>
      <c r="S491" s="11"/>
      <c r="T491" s="11"/>
      <c r="U491" s="11"/>
    </row>
    <row r="492" spans="1:21" x14ac:dyDescent="0.2">
      <c r="A492" s="10"/>
      <c r="B492" s="14"/>
      <c r="R492" s="11"/>
      <c r="S492" s="11"/>
      <c r="T492" s="11"/>
      <c r="U492" s="11"/>
    </row>
    <row r="493" spans="1:21" x14ac:dyDescent="0.2">
      <c r="A493" s="10"/>
      <c r="B493" s="14"/>
      <c r="R493" s="11"/>
      <c r="S493" s="11"/>
      <c r="T493" s="11"/>
      <c r="U493" s="11"/>
    </row>
    <row r="494" spans="1:21" x14ac:dyDescent="0.2">
      <c r="A494" s="10"/>
      <c r="B494" s="14"/>
      <c r="R494" s="11"/>
      <c r="S494" s="11"/>
      <c r="T494" s="11"/>
      <c r="U494" s="11"/>
    </row>
    <row r="495" spans="1:21" x14ac:dyDescent="0.2">
      <c r="A495" s="10"/>
      <c r="B495" s="14"/>
      <c r="R495" s="11"/>
      <c r="S495" s="11"/>
      <c r="T495" s="11"/>
      <c r="U495" s="11"/>
    </row>
    <row r="496" spans="1:21" x14ac:dyDescent="0.2">
      <c r="A496" s="10"/>
      <c r="B496" s="14"/>
      <c r="R496" s="11"/>
      <c r="S496" s="11"/>
      <c r="T496" s="11"/>
      <c r="U496" s="11"/>
    </row>
    <row r="497" spans="1:21" x14ac:dyDescent="0.2">
      <c r="A497" s="10"/>
      <c r="B497" s="14"/>
      <c r="R497" s="11"/>
      <c r="S497" s="11"/>
      <c r="T497" s="11"/>
      <c r="U497" s="11"/>
    </row>
    <row r="498" spans="1:21" x14ac:dyDescent="0.2">
      <c r="A498" s="10"/>
      <c r="B498" s="14"/>
      <c r="R498" s="11"/>
      <c r="S498" s="11"/>
      <c r="T498" s="11"/>
      <c r="U498" s="11"/>
    </row>
    <row r="499" spans="1:21" x14ac:dyDescent="0.2">
      <c r="A499" s="10"/>
      <c r="B499" s="14"/>
      <c r="R499" s="11"/>
      <c r="S499" s="11"/>
      <c r="T499" s="11"/>
      <c r="U499" s="11"/>
    </row>
    <row r="500" spans="1:21" x14ac:dyDescent="0.2">
      <c r="A500" s="10"/>
      <c r="B500" s="14"/>
      <c r="R500" s="11"/>
      <c r="S500" s="11"/>
      <c r="T500" s="11"/>
      <c r="U500" s="11"/>
    </row>
    <row r="501" spans="1:21" x14ac:dyDescent="0.2">
      <c r="A501" s="10"/>
      <c r="B501" s="14"/>
    </row>
    <row r="502" spans="1:21" x14ac:dyDescent="0.2">
      <c r="A502" s="10"/>
      <c r="B502" s="14"/>
    </row>
    <row r="503" spans="1:21" x14ac:dyDescent="0.2">
      <c r="A503" s="10"/>
      <c r="B503" s="14"/>
    </row>
    <row r="504" spans="1:21" x14ac:dyDescent="0.2">
      <c r="A504" s="10"/>
      <c r="B504" s="14"/>
    </row>
    <row r="505" spans="1:21" x14ac:dyDescent="0.2">
      <c r="A505" s="10"/>
      <c r="B505" s="14"/>
    </row>
    <row r="506" spans="1:21" x14ac:dyDescent="0.2">
      <c r="A506" s="10"/>
      <c r="B506" s="14"/>
    </row>
    <row r="507" spans="1:21" x14ac:dyDescent="0.2">
      <c r="A507" s="10"/>
      <c r="B507" s="14"/>
    </row>
    <row r="508" spans="1:21" x14ac:dyDescent="0.2">
      <c r="A508" s="10"/>
      <c r="B508" s="14"/>
    </row>
    <row r="509" spans="1:21" x14ac:dyDescent="0.2">
      <c r="A509" s="10"/>
      <c r="B509" s="14"/>
    </row>
    <row r="510" spans="1:21" x14ac:dyDescent="0.2">
      <c r="A510" s="10"/>
      <c r="B510" s="14"/>
    </row>
    <row r="511" spans="1:21" x14ac:dyDescent="0.2">
      <c r="A511" s="10"/>
      <c r="B511" s="14"/>
    </row>
    <row r="512" spans="1:21" x14ac:dyDescent="0.2">
      <c r="A512" s="10"/>
      <c r="B512" s="14"/>
    </row>
    <row r="513" spans="1:2" x14ac:dyDescent="0.2">
      <c r="A513" s="10"/>
      <c r="B513" s="14"/>
    </row>
    <row r="514" spans="1:2" x14ac:dyDescent="0.2">
      <c r="A514" s="10"/>
      <c r="B514" s="14"/>
    </row>
    <row r="515" spans="1:2" x14ac:dyDescent="0.2">
      <c r="A515" s="10"/>
      <c r="B515" s="14"/>
    </row>
    <row r="516" spans="1:2" x14ac:dyDescent="0.2">
      <c r="A516" s="10"/>
      <c r="B516" s="14"/>
    </row>
    <row r="517" spans="1:2" x14ac:dyDescent="0.2">
      <c r="A517" s="10"/>
      <c r="B517" s="14"/>
    </row>
    <row r="518" spans="1:2" x14ac:dyDescent="0.2">
      <c r="A518" s="10"/>
      <c r="B518" s="14"/>
    </row>
    <row r="519" spans="1:2" x14ac:dyDescent="0.2">
      <c r="A519" s="10"/>
      <c r="B519" s="14"/>
    </row>
    <row r="520" spans="1:2" x14ac:dyDescent="0.2">
      <c r="A520" s="10"/>
      <c r="B520" s="14"/>
    </row>
    <row r="521" spans="1:2" x14ac:dyDescent="0.2">
      <c r="A521" s="10"/>
      <c r="B521" s="14"/>
    </row>
    <row r="522" spans="1:2" x14ac:dyDescent="0.2">
      <c r="A522" s="10"/>
      <c r="B522" s="14"/>
    </row>
    <row r="523" spans="1:2" x14ac:dyDescent="0.2">
      <c r="A523" s="10"/>
      <c r="B523" s="14"/>
    </row>
    <row r="524" spans="1:2" x14ac:dyDescent="0.2">
      <c r="A524" s="10"/>
      <c r="B524" s="14"/>
    </row>
    <row r="525" spans="1:2" x14ac:dyDescent="0.2">
      <c r="A525" s="10"/>
      <c r="B525" s="14"/>
    </row>
    <row r="526" spans="1:2" x14ac:dyDescent="0.2">
      <c r="A526" s="10"/>
      <c r="B526" s="14"/>
    </row>
    <row r="527" spans="1:2" x14ac:dyDescent="0.2">
      <c r="A527" s="10"/>
      <c r="B527" s="14"/>
    </row>
    <row r="528" spans="1:2" x14ac:dyDescent="0.2">
      <c r="A528" s="10"/>
      <c r="B528" s="14"/>
    </row>
    <row r="529" spans="1:2" x14ac:dyDescent="0.2">
      <c r="A529" s="10"/>
      <c r="B529" s="14"/>
    </row>
    <row r="530" spans="1:2" x14ac:dyDescent="0.2">
      <c r="A530" s="10"/>
      <c r="B530" s="14"/>
    </row>
    <row r="531" spans="1:2" x14ac:dyDescent="0.2">
      <c r="A531" s="10"/>
      <c r="B531" s="14"/>
    </row>
    <row r="532" spans="1:2" x14ac:dyDescent="0.2">
      <c r="A532" s="10"/>
      <c r="B532" s="14"/>
    </row>
    <row r="533" spans="1:2" x14ac:dyDescent="0.2">
      <c r="A533" s="10"/>
      <c r="B533" s="14"/>
    </row>
    <row r="534" spans="1:2" x14ac:dyDescent="0.2">
      <c r="A534" s="10"/>
      <c r="B534" s="14"/>
    </row>
    <row r="535" spans="1:2" x14ac:dyDescent="0.2">
      <c r="A535" s="10"/>
      <c r="B535" s="14"/>
    </row>
    <row r="536" spans="1:2" x14ac:dyDescent="0.2">
      <c r="A536" s="10"/>
      <c r="B536" s="14"/>
    </row>
    <row r="537" spans="1:2" x14ac:dyDescent="0.2">
      <c r="A537" s="10"/>
      <c r="B537" s="14"/>
    </row>
    <row r="538" spans="1:2" x14ac:dyDescent="0.2">
      <c r="A538" s="10"/>
      <c r="B538" s="14"/>
    </row>
    <row r="539" spans="1:2" x14ac:dyDescent="0.2">
      <c r="A539" s="10"/>
      <c r="B539" s="14"/>
    </row>
    <row r="540" spans="1:2" x14ac:dyDescent="0.2">
      <c r="A540" s="10"/>
      <c r="B540" s="14"/>
    </row>
    <row r="541" spans="1:2" x14ac:dyDescent="0.2">
      <c r="A541" s="10"/>
      <c r="B541" s="14"/>
    </row>
    <row r="542" spans="1:2" x14ac:dyDescent="0.2">
      <c r="A542" s="10"/>
      <c r="B542" s="14"/>
    </row>
    <row r="543" spans="1:2" x14ac:dyDescent="0.2">
      <c r="A543" s="10"/>
      <c r="B543" s="14"/>
    </row>
    <row r="544" spans="1:2" x14ac:dyDescent="0.2">
      <c r="A544" s="10"/>
      <c r="B544" s="14"/>
    </row>
    <row r="545" spans="1:2" x14ac:dyDescent="0.2">
      <c r="A545" s="10"/>
      <c r="B545" s="14"/>
    </row>
    <row r="546" spans="1:2" x14ac:dyDescent="0.2">
      <c r="A546" s="10"/>
      <c r="B546" s="14"/>
    </row>
    <row r="547" spans="1:2" x14ac:dyDescent="0.2">
      <c r="A547" s="10"/>
      <c r="B547" s="14"/>
    </row>
    <row r="548" spans="1:2" x14ac:dyDescent="0.2">
      <c r="A548" s="10"/>
      <c r="B548" s="14"/>
    </row>
    <row r="549" spans="1:2" x14ac:dyDescent="0.2">
      <c r="A549" s="10"/>
      <c r="B549" s="14"/>
    </row>
    <row r="550" spans="1:2" x14ac:dyDescent="0.2">
      <c r="A550" s="10"/>
      <c r="B550" s="14"/>
    </row>
    <row r="551" spans="1:2" x14ac:dyDescent="0.2">
      <c r="A551" s="10"/>
      <c r="B551" s="14"/>
    </row>
    <row r="552" spans="1:2" x14ac:dyDescent="0.2">
      <c r="A552" s="10"/>
      <c r="B552" s="14"/>
    </row>
    <row r="553" spans="1:2" x14ac:dyDescent="0.2">
      <c r="A553" s="10"/>
      <c r="B553" s="14"/>
    </row>
    <row r="554" spans="1:2" x14ac:dyDescent="0.2">
      <c r="A554" s="10"/>
      <c r="B554" s="14"/>
    </row>
    <row r="555" spans="1:2" x14ac:dyDescent="0.2">
      <c r="A555" s="10"/>
      <c r="B555" s="14"/>
    </row>
    <row r="556" spans="1:2" x14ac:dyDescent="0.2">
      <c r="A556" s="10"/>
      <c r="B556" s="14"/>
    </row>
    <row r="557" spans="1:2" x14ac:dyDescent="0.2">
      <c r="A557" s="10"/>
      <c r="B557" s="14"/>
    </row>
    <row r="558" spans="1:2" x14ac:dyDescent="0.2">
      <c r="A558" s="10"/>
      <c r="B558" s="14"/>
    </row>
    <row r="559" spans="1:2" x14ac:dyDescent="0.2">
      <c r="A559" s="10"/>
      <c r="B559" s="14"/>
    </row>
    <row r="560" spans="1:2" x14ac:dyDescent="0.2">
      <c r="A560" s="10"/>
      <c r="B560" s="14"/>
    </row>
    <row r="561" spans="1:2" x14ac:dyDescent="0.2">
      <c r="A561" s="10"/>
      <c r="B561" s="14"/>
    </row>
    <row r="562" spans="1:2" x14ac:dyDescent="0.2">
      <c r="A562" s="10"/>
      <c r="B562" s="14"/>
    </row>
    <row r="563" spans="1:2" x14ac:dyDescent="0.2">
      <c r="A563" s="10"/>
      <c r="B563" s="14"/>
    </row>
    <row r="564" spans="1:2" x14ac:dyDescent="0.2">
      <c r="A564" s="10"/>
      <c r="B564" s="14"/>
    </row>
    <row r="565" spans="1:2" x14ac:dyDescent="0.2">
      <c r="A565" s="10"/>
      <c r="B565" s="14"/>
    </row>
    <row r="566" spans="1:2" x14ac:dyDescent="0.2">
      <c r="A566" s="10"/>
      <c r="B566" s="14"/>
    </row>
    <row r="567" spans="1:2" x14ac:dyDescent="0.2">
      <c r="A567" s="10"/>
      <c r="B567" s="14"/>
    </row>
    <row r="568" spans="1:2" x14ac:dyDescent="0.2">
      <c r="A568" s="10"/>
      <c r="B568" s="14"/>
    </row>
    <row r="569" spans="1:2" x14ac:dyDescent="0.2">
      <c r="A569" s="10"/>
      <c r="B569" s="14"/>
    </row>
    <row r="570" spans="1:2" x14ac:dyDescent="0.2">
      <c r="A570" s="10"/>
      <c r="B570" s="14"/>
    </row>
    <row r="571" spans="1:2" x14ac:dyDescent="0.2">
      <c r="A571" s="10"/>
      <c r="B571" s="14"/>
    </row>
    <row r="572" spans="1:2" x14ac:dyDescent="0.2">
      <c r="A572" s="10"/>
      <c r="B572" s="14"/>
    </row>
    <row r="573" spans="1:2" x14ac:dyDescent="0.2">
      <c r="A573" s="10"/>
      <c r="B573" s="14"/>
    </row>
    <row r="574" spans="1:2" x14ac:dyDescent="0.2">
      <c r="A574" s="10"/>
      <c r="B574" s="14"/>
    </row>
    <row r="575" spans="1:2" x14ac:dyDescent="0.2">
      <c r="A575" s="10"/>
      <c r="B575" s="14"/>
    </row>
    <row r="576" spans="1:2" x14ac:dyDescent="0.2">
      <c r="A576" s="10"/>
      <c r="B576" s="14"/>
    </row>
    <row r="577" spans="1:2" x14ac:dyDescent="0.2">
      <c r="A577" s="10"/>
      <c r="B577" s="14"/>
    </row>
    <row r="578" spans="1:2" x14ac:dyDescent="0.2">
      <c r="A578" s="10"/>
      <c r="B578" s="14"/>
    </row>
    <row r="579" spans="1:2" x14ac:dyDescent="0.2">
      <c r="A579" s="10"/>
      <c r="B579" s="14"/>
    </row>
    <row r="580" spans="1:2" x14ac:dyDescent="0.2">
      <c r="A580" s="10"/>
      <c r="B580" s="14"/>
    </row>
    <row r="581" spans="1:2" x14ac:dyDescent="0.2">
      <c r="A581" s="10"/>
      <c r="B581" s="14"/>
    </row>
    <row r="582" spans="1:2" x14ac:dyDescent="0.2">
      <c r="A582" s="10"/>
      <c r="B582" s="14"/>
    </row>
    <row r="583" spans="1:2" x14ac:dyDescent="0.2">
      <c r="A583" s="10"/>
      <c r="B583" s="14"/>
    </row>
    <row r="584" spans="1:2" x14ac:dyDescent="0.2">
      <c r="A584" s="10"/>
      <c r="B584" s="14"/>
    </row>
    <row r="585" spans="1:2" x14ac:dyDescent="0.2">
      <c r="A585" s="10"/>
      <c r="B585" s="14"/>
    </row>
    <row r="586" spans="1:2" x14ac:dyDescent="0.2">
      <c r="A586" s="10"/>
      <c r="B586" s="14"/>
    </row>
    <row r="587" spans="1:2" x14ac:dyDescent="0.2">
      <c r="A587" s="10"/>
      <c r="B587" s="14"/>
    </row>
    <row r="588" spans="1:2" x14ac:dyDescent="0.2">
      <c r="A588" s="10"/>
      <c r="B588" s="14"/>
    </row>
    <row r="589" spans="1:2" x14ac:dyDescent="0.2">
      <c r="A589" s="10"/>
      <c r="B589" s="14"/>
    </row>
    <row r="590" spans="1:2" x14ac:dyDescent="0.2">
      <c r="A590" s="10"/>
      <c r="B590" s="14"/>
    </row>
    <row r="591" spans="1:2" x14ac:dyDescent="0.2">
      <c r="A591" s="10"/>
      <c r="B591" s="14"/>
    </row>
    <row r="592" spans="1:2" x14ac:dyDescent="0.2">
      <c r="A592" s="10"/>
      <c r="B592" s="14"/>
    </row>
    <row r="593" spans="1:2" x14ac:dyDescent="0.2">
      <c r="A593" s="10"/>
      <c r="B593" s="14"/>
    </row>
    <row r="594" spans="1:2" x14ac:dyDescent="0.2">
      <c r="A594" s="10"/>
    </row>
    <row r="595" spans="1:2" x14ac:dyDescent="0.2">
      <c r="A595" s="10"/>
    </row>
    <row r="596" spans="1:2" x14ac:dyDescent="0.2">
      <c r="A596" s="10"/>
    </row>
    <row r="597" spans="1:2" x14ac:dyDescent="0.2">
      <c r="A597" s="10"/>
    </row>
    <row r="598" spans="1:2" x14ac:dyDescent="0.2">
      <c r="A598" s="10"/>
    </row>
    <row r="599" spans="1:2" x14ac:dyDescent="0.2">
      <c r="A599" s="10"/>
    </row>
    <row r="600" spans="1:2" x14ac:dyDescent="0.2">
      <c r="A600" s="10"/>
    </row>
    <row r="601" spans="1:2" x14ac:dyDescent="0.2">
      <c r="A601" s="10"/>
    </row>
  </sheetData>
  <mergeCells count="53">
    <mergeCell ref="Q113:R113"/>
    <mergeCell ref="V113:W113"/>
    <mergeCell ref="Q114:R114"/>
    <mergeCell ref="V114:W114"/>
    <mergeCell ref="Q115:R115"/>
    <mergeCell ref="V115:W115"/>
    <mergeCell ref="Q116:R116"/>
    <mergeCell ref="V116:W116"/>
    <mergeCell ref="Q117:R117"/>
    <mergeCell ref="V117:W117"/>
    <mergeCell ref="Q118:R118"/>
    <mergeCell ref="V118:W118"/>
    <mergeCell ref="Q119:R119"/>
    <mergeCell ref="V119:W119"/>
    <mergeCell ref="Q120:R120"/>
    <mergeCell ref="V120:W120"/>
    <mergeCell ref="Q121:R121"/>
    <mergeCell ref="V121:W121"/>
    <mergeCell ref="Q122:R122"/>
    <mergeCell ref="V122:W122"/>
    <mergeCell ref="Q123:R123"/>
    <mergeCell ref="V123:W123"/>
    <mergeCell ref="Q124:R124"/>
    <mergeCell ref="V124:W124"/>
    <mergeCell ref="P145:Q145"/>
    <mergeCell ref="Q125:R125"/>
    <mergeCell ref="V125:W125"/>
    <mergeCell ref="P136:Q136"/>
    <mergeCell ref="P137:Q137"/>
    <mergeCell ref="P138:Q138"/>
    <mergeCell ref="P139:Q139"/>
    <mergeCell ref="P140:Q140"/>
    <mergeCell ref="P141:Q141"/>
    <mergeCell ref="P142:Q142"/>
    <mergeCell ref="P143:Q143"/>
    <mergeCell ref="P144:Q144"/>
    <mergeCell ref="M197:N197"/>
    <mergeCell ref="P146:Q146"/>
    <mergeCell ref="P147:Q147"/>
    <mergeCell ref="P178:Q178"/>
    <mergeCell ref="P179:Q179"/>
    <mergeCell ref="P180:Q180"/>
    <mergeCell ref="P181:Q181"/>
    <mergeCell ref="P182:Q182"/>
    <mergeCell ref="P183:Q183"/>
    <mergeCell ref="P184:Q184"/>
    <mergeCell ref="P185:Q185"/>
    <mergeCell ref="M196:N196"/>
    <mergeCell ref="M198:N198"/>
    <mergeCell ref="M199:N199"/>
    <mergeCell ref="M200:N200"/>
    <mergeCell ref="M201:N201"/>
    <mergeCell ref="A209:L212"/>
  </mergeCells>
  <hyperlinks>
    <hyperlink ref="A2" location="'Bid Log'!A9" display="Council Bids" xr:uid="{D198E3F9-B6AC-487B-899D-9E904CE78B4A}"/>
    <hyperlink ref="A3" location="'Bid Log'!A110" display="Non-Council Bids" xr:uid="{EE57A3B3-3A81-4346-AB73-3E3620F2F583}"/>
    <hyperlink ref="A4" location="'Bid Log'!A145" display="Requests for Proposals" xr:uid="{E72F5498-2EEA-4D1F-8EA9-9BA182AB9720}"/>
    <hyperlink ref="A5" location="'Bid Log'!A173" display="Competitive Sealed Proposals" xr:uid="{D143238E-4A29-40D9-A5D9-DC00B6C6D0D2}"/>
    <hyperlink ref="A6" location="'Bid Log'!A194" display="Request for Qualifications" xr:uid="{A9484A9A-0E86-4BBD-A6ED-31C25E596A7F}"/>
    <hyperlink ref="A7" location="'Bid Log'!A215" display="Request for Information" xr:uid="{E7E1C82C-F709-410E-8F08-AE0F48F4A732}"/>
    <hyperlink ref="A188" location="'Bid Log'!A1" display="Return to Top of Document" xr:uid="{E3E50D41-44CB-41F6-8D68-48CF266C7171}"/>
    <hyperlink ref="A204" location="'Bid Log'!A1" display="Return to Top of Document" xr:uid="{DEE5578B-E6C6-4B52-BBB7-F6A9335208C2}"/>
    <hyperlink ref="A170" location="'Bid Log'!A1" display="Return to Top of Document" xr:uid="{718F7D14-5020-4A34-BF12-A650DF46BE64}"/>
    <hyperlink ref="A150" location="'Bid Log'!A1" display="Return to Top of Document" xr:uid="{9B368A5A-FF28-4A0E-BA16-91DB3D631482}"/>
    <hyperlink ref="A128" location="'Bid Log'!A1" display="Return to Top of Document" xr:uid="{6465971F-C0E4-49DC-8006-2D56DBFC8166}"/>
    <hyperlink ref="A105" location="'Bid Log'!A1" display="Return to Top of Document" xr:uid="{D64E9612-EF6D-4FE4-B87F-A9BF6313263D}"/>
    <hyperlink ref="O17" r:id="rId1" xr:uid="{312DC48C-F767-42A3-8B1F-FB1F97E1DF7F}"/>
    <hyperlink ref="O18" r:id="rId2" xr:uid="{DA74E70B-460A-4716-BA25-7B68D977E9B5}"/>
    <hyperlink ref="O19" r:id="rId3" xr:uid="{3210CFD5-E136-44AB-894A-3BA95F75E0E9}"/>
    <hyperlink ref="O20" r:id="rId4" xr:uid="{E613D683-C2CE-46FD-A038-638324F43277}"/>
    <hyperlink ref="O21" r:id="rId5" xr:uid="{ABC9ACDE-D0D5-40D5-99C4-DA36B9EC1A45}"/>
    <hyperlink ref="O22" r:id="rId6" xr:uid="{3E74A737-3BCE-4F70-BB15-D0E344BC4F0E}"/>
    <hyperlink ref="F117" r:id="rId7" xr:uid="{999C60DF-FB86-4C02-AFF5-EF7C80DB00DC}"/>
    <hyperlink ref="F142" r:id="rId8" xr:uid="{A7DAAFA4-E313-4356-9D6C-846B485152E6}"/>
    <hyperlink ref="F144" r:id="rId9" xr:uid="{142C39FC-C63F-4717-AE67-43E260780F8B}"/>
    <hyperlink ref="G142" r:id="rId10" xr:uid="{84E3DFA3-E7E4-4F50-A96E-714A03218E4E}"/>
    <hyperlink ref="O25" r:id="rId11" xr:uid="{777E064F-5098-4E90-ADE8-1D4E980C5894}"/>
    <hyperlink ref="O26" r:id="rId12" xr:uid="{93F0BBAD-06E7-4CD5-BA50-2D648B4A31ED}"/>
    <hyperlink ref="O27" r:id="rId13" xr:uid="{445E8C15-4214-4EEA-8118-7CBDEBB08DE6}"/>
    <hyperlink ref="O29" r:id="rId14" xr:uid="{35920F5F-231C-45E4-8A55-1463D2B3D750}"/>
    <hyperlink ref="O30" r:id="rId15" xr:uid="{F0ABAF5B-E264-4331-943E-2886C1AFC664}"/>
    <hyperlink ref="O31" r:id="rId16" xr:uid="{17A57099-E637-4B27-AD5C-7B54D47B6672}"/>
    <hyperlink ref="O32" r:id="rId17" xr:uid="{04F8154E-E6CD-4DB8-A3C7-466180D1CF34}"/>
    <hyperlink ref="O33" r:id="rId18" xr:uid="{FDC5233F-0396-4113-95B3-46AE88C70BFC}"/>
    <hyperlink ref="O34" r:id="rId19" xr:uid="{12A28677-F3EC-4BF7-8572-9F791C52877F}"/>
    <hyperlink ref="O35" r:id="rId20" xr:uid="{45EBBE44-CD8A-43D0-9E0B-445E09A6AC03}"/>
    <hyperlink ref="F28" r:id="rId21" xr:uid="{FA420D40-E31F-47AD-81EA-4F22E19C876D}"/>
    <hyperlink ref="F119" r:id="rId22" xr:uid="{229A3DCF-6127-4CA9-8C5E-8F38E9BEA044}"/>
    <hyperlink ref="D182" r:id="rId23" xr:uid="{A3D48F3E-090E-4779-8EA0-78A4E037A721}"/>
    <hyperlink ref="F182" r:id="rId24" xr:uid="{2592AD0A-DF79-43C4-9258-F5B046378007}"/>
    <hyperlink ref="G182" r:id="rId25" xr:uid="{E7B31EE4-5C40-4517-963C-E51BCF12ABD1}"/>
    <hyperlink ref="F118" r:id="rId26" xr:uid="{C78D237B-03CC-4315-B758-51910F7773F9}"/>
    <hyperlink ref="F145" r:id="rId27" xr:uid="{A3D4D8F3-4BC1-49DE-BB1D-F77CC09DE8B2}"/>
    <hyperlink ref="G144" r:id="rId28" xr:uid="{3F0691BC-F226-402A-B3B2-0D2D2516711F}"/>
    <hyperlink ref="D16" r:id="rId29" xr:uid="{BAAD0A38-2312-4FE1-9AAD-9588263621E2}"/>
    <hyperlink ref="F16" r:id="rId30" xr:uid="{B03667A1-D080-43FB-8104-889F4C43E148}"/>
    <hyperlink ref="O37" r:id="rId31" xr:uid="{3AD09BC1-94A3-45B5-93B8-7ABE270DE965}"/>
    <hyperlink ref="O38" r:id="rId32" xr:uid="{45CE05AC-23C8-41F9-86EC-4B3F1EC2E571}"/>
    <hyperlink ref="O39" r:id="rId33" xr:uid="{250C985E-E513-4E22-AEDE-7CE48443511A}"/>
    <hyperlink ref="O40" r:id="rId34" xr:uid="{6E05A3BF-B269-4B5E-8B47-CC04A7059914}"/>
    <hyperlink ref="O41" r:id="rId35" xr:uid="{46168176-9DF5-45E8-BF6B-D3EC3C158AB6}"/>
    <hyperlink ref="L117" r:id="rId36" xr:uid="{51B62C2B-8A08-48AA-AA49-D06F069F9E0C}"/>
    <hyperlink ref="L119" r:id="rId37" xr:uid="{E895321C-7B34-48F3-9001-C5C571BAAEFB}"/>
    <hyperlink ref="G145" r:id="rId38" xr:uid="{43CEBE99-D14B-4DA4-999F-8885E0895C76}"/>
    <hyperlink ref="L118" r:id="rId39" xr:uid="{9C11DC72-B7D1-43AC-8EFF-04354643265F}"/>
    <hyperlink ref="L28" r:id="rId40" xr:uid="{1E74F095-506B-4A16-B501-771D9508B8D0}"/>
    <hyperlink ref="F24" r:id="rId41" xr:uid="{C98CDDDB-DEFF-4BFE-BEFD-1D78AC562819}"/>
    <hyperlink ref="F143" r:id="rId42" xr:uid="{BAABB270-BB2A-4DAD-854A-85CF0B2B98D4}"/>
    <hyperlink ref="F45" r:id="rId43" xr:uid="{1DD62CB4-3C50-4C5E-859A-6FFBF8FA1BD6}"/>
    <hyperlink ref="L16" r:id="rId44" xr:uid="{49062430-5C1A-43BC-86F8-C3F4496D4B4B}"/>
    <hyperlink ref="F183" r:id="rId45" xr:uid="{464DA1CF-E9B5-4DCB-8107-F6217B14D45E}"/>
    <hyperlink ref="M144" r:id="rId46" xr:uid="{416B795B-3F55-429A-85A4-54BD5FDC2431}"/>
    <hyperlink ref="F53" r:id="rId47" xr:uid="{DE4E5E80-BACD-4683-917C-CA0970B269FD}"/>
    <hyperlink ref="D42" r:id="rId48" xr:uid="{50DD5E44-8251-4ABD-9526-94556DEC1CD0}"/>
    <hyperlink ref="F42" r:id="rId49" xr:uid="{9CD54B46-43A6-4AA1-BBE3-987EE417800F}"/>
    <hyperlink ref="O43" r:id="rId50" xr:uid="{82D85472-0D43-49DA-BE7B-FFC97E56172C}"/>
    <hyperlink ref="O44" r:id="rId51" xr:uid="{F21B5EAE-2055-43A1-9C82-7514D2DBC398}"/>
    <hyperlink ref="O47" r:id="rId52" xr:uid="{950FD6F0-59B6-47A9-9032-7DA8062D92D3}"/>
    <hyperlink ref="O48" r:id="rId53" xr:uid="{29945742-ED1F-432B-BF74-D34F10E0D1ED}"/>
    <hyperlink ref="O50" r:id="rId54" xr:uid="{F590CB21-7C35-4308-9CD3-5113D972DFFD}"/>
    <hyperlink ref="O51" r:id="rId55" xr:uid="{DB9688CC-D557-457A-B0AC-B54BE1A18AD7}"/>
    <hyperlink ref="D46" r:id="rId56" xr:uid="{DA2CE96C-DF46-4495-8FA2-728479323963}"/>
    <hyperlink ref="F46" r:id="rId57" xr:uid="{0108E9C9-D49C-444E-B1CA-813F4F76C6CA}"/>
    <hyperlink ref="L45" r:id="rId58" xr:uid="{FA020F7C-72F7-4FBC-8BD4-5D9829A51D85}"/>
    <hyperlink ref="L42" r:id="rId59" xr:uid="{DD1D0E3B-F706-4B51-AFBA-8095C0291E98}"/>
    <hyperlink ref="L24" r:id="rId60" xr:uid="{F06662F5-FEF3-48FF-88A9-B1D5BE31BFEA}"/>
    <hyperlink ref="F184" r:id="rId61" xr:uid="{4C94766C-508F-4904-9DA0-2C8E727F4E21}"/>
    <hyperlink ref="M182" r:id="rId62" xr:uid="{296448F5-32B0-4925-A1CB-59FB53053479}"/>
    <hyperlink ref="D59" r:id="rId63" xr:uid="{F7BA825A-4B83-4649-AD41-D5D0F6986FA9}"/>
    <hyperlink ref="D58" r:id="rId64" xr:uid="{4F6E39BE-1CD9-4C01-B315-CF96931AC800}"/>
    <hyperlink ref="F58" r:id="rId65" xr:uid="{2F72CAE9-4223-408C-AFA3-4510A685FA76}"/>
    <hyperlink ref="O57" r:id="rId66" xr:uid="{D3ADF241-D118-46F4-8CAC-0E0D3A887918}"/>
    <hyperlink ref="O56" r:id="rId67" xr:uid="{ADA311ED-0CE6-4C1A-9954-FD66868A8CF2}"/>
    <hyperlink ref="F55" r:id="rId68" xr:uid="{9D5CE0C4-3B6A-481F-9B03-B2B10B6BF122}"/>
    <hyperlink ref="L53" r:id="rId69" xr:uid="{CA061877-E4F9-4EEE-831C-E63761712D91}"/>
    <hyperlink ref="F52" r:id="rId70" xr:uid="{59CE71CD-C2AD-4020-BB5A-64072A6D31DB}"/>
    <hyperlink ref="O49" r:id="rId71" xr:uid="{1407BC6C-FEAF-4354-A5DB-D7082C8BAC71}"/>
    <hyperlink ref="L46" r:id="rId72" xr:uid="{F772A2FA-3147-47B9-A7BF-F6BF4F23229F}"/>
    <hyperlink ref="O45" r:id="rId73" xr:uid="{37FB1355-CE8B-46F6-9C64-8DC9C132756C}"/>
    <hyperlink ref="O42" r:id="rId74" xr:uid="{969FDD0E-DAFD-48C9-A28B-44361AFF0BCC}"/>
    <hyperlink ref="O16" r:id="rId75" xr:uid="{5B079D2A-A70E-4E5C-AA01-3C7435427D2F}"/>
    <hyperlink ref="F59" r:id="rId76" xr:uid="{5EDE98FF-6EA5-4CCE-A498-CE24B2B5DCD4}"/>
    <hyperlink ref="G184" r:id="rId77" xr:uid="{01D0C3DA-65EB-4A16-994A-08292DB60FBC}"/>
    <hyperlink ref="G141" r:id="rId78" xr:uid="{45C6970C-E62D-4158-AC82-4ACFBA6CE27A}"/>
    <hyperlink ref="O60" r:id="rId79" xr:uid="{1DB46FA4-222C-4209-9A62-612167413BC9}"/>
    <hyperlink ref="O61" r:id="rId80" xr:uid="{E3AE0A4A-9818-474C-919A-90FCE4AC38D7}"/>
    <hyperlink ref="O62" r:id="rId81" xr:uid="{C9BD7DE8-FE18-450B-85EE-EAB5B4D71745}"/>
    <hyperlink ref="L55" r:id="rId82" xr:uid="{EEA1E16C-7D99-4A42-9DE2-12A760067A6C}"/>
    <hyperlink ref="O46" r:id="rId83" xr:uid="{4064394A-AC57-47DC-B2D4-B624E28E7E6A}"/>
    <hyperlink ref="O53" r:id="rId84" xr:uid="{9D7718CE-C257-4B96-BD61-4A20C1B27DC9}"/>
    <hyperlink ref="O54" r:id="rId85" xr:uid="{46E067A6-76C4-440B-B309-0460728F48E9}"/>
    <hyperlink ref="O58" r:id="rId86" xr:uid="{86AF3D27-DF35-4F04-A27B-05A646C07B9E}"/>
    <hyperlink ref="O63" r:id="rId87" xr:uid="{E866DD88-6F15-4097-B468-D8AEF73B310D}"/>
    <hyperlink ref="O64" r:id="rId88" xr:uid="{D302F7A7-84D7-4C76-9F1C-038FEA73D6A0}"/>
    <hyperlink ref="O65" r:id="rId89" xr:uid="{3F6002AE-4059-4192-A784-612C7C518C2D}"/>
    <hyperlink ref="L52" r:id="rId90" xr:uid="{76E9AFA8-F32A-4F93-95A9-4D5552222D51}"/>
    <hyperlink ref="L58" r:id="rId91" xr:uid="{7E1A8C85-F8F0-441B-86E1-5505ADD2FB20}"/>
    <hyperlink ref="L59" r:id="rId92" xr:uid="{CDA4A108-E0DF-4EB4-A7D1-1AF6F39ED4FF}"/>
    <hyperlink ref="H141" r:id="rId93" xr:uid="{3FFCAFBE-49A1-4265-9E2B-7279B9302B94}"/>
    <hyperlink ref="G140" r:id="rId94" xr:uid="{F5F9DA57-0309-483C-8992-1C76FFADA285}"/>
    <hyperlink ref="F140" r:id="rId95" xr:uid="{F1285D5C-2F77-4768-8601-6AFA044BF4EA}"/>
    <hyperlink ref="F141" r:id="rId96" xr:uid="{AFB5B218-9076-45DF-9471-8BE27BD19D6B}"/>
    <hyperlink ref="F120" r:id="rId97" xr:uid="{3D7CD692-A0C5-4411-97BB-A01E8B3E487C}"/>
    <hyperlink ref="F67" r:id="rId98" xr:uid="{C2C29784-09E5-4F8A-B9BE-EEFBEE6F10F4}"/>
    <hyperlink ref="O66" r:id="rId99" xr:uid="{1E11710B-AEB4-4E1B-A327-7C003EDE8FC4}"/>
    <hyperlink ref="O52" r:id="rId100" xr:uid="{C7927C59-67BC-4832-A251-F1290FF7068A}"/>
    <hyperlink ref="O55" r:id="rId101" xr:uid="{8987C5D3-B4F9-4EEB-8289-4153560FF893}"/>
    <hyperlink ref="O59" r:id="rId102" xr:uid="{547AFFEA-7A8E-4AC0-B734-6C20A3D2F4C6}"/>
    <hyperlink ref="D162" r:id="rId103" xr:uid="{3E76A3AA-32AE-4ECA-91C7-0A83E30EF18B}"/>
    <hyperlink ref="F162" r:id="rId104" xr:uid="{FF480520-1A35-4986-A2D7-10F272030539}"/>
    <hyperlink ref="O68" r:id="rId105" xr:uid="{D908B3B1-2CB4-4E82-B06D-B2AB1C5E7B03}"/>
    <hyperlink ref="O69" r:id="rId106" xr:uid="{2F9A8D21-223A-4DF5-8233-4884136E6312}"/>
    <hyperlink ref="O70" r:id="rId107" xr:uid="{8AAA5B0F-F739-48E3-823F-B41630AB9D60}"/>
    <hyperlink ref="O71" r:id="rId108" xr:uid="{142FAA29-9872-4079-B778-73676DA6C579}"/>
    <hyperlink ref="L67" r:id="rId109" xr:uid="{B0496BEF-3396-4548-A16F-35A1D8DFBD58}"/>
    <hyperlink ref="G162" r:id="rId110" xr:uid="{621F0242-471D-4C75-A67C-B2066F4EFA20}"/>
    <hyperlink ref="F121" r:id="rId111" xr:uid="{EA4CCB15-BBD0-45A1-A3DA-6BD04DCA4AA7}"/>
    <hyperlink ref="F72" r:id="rId112" xr:uid="{034A89AA-05B4-492F-8022-D2874D6F0B59}"/>
    <hyperlink ref="L121" r:id="rId113" xr:uid="{D3B0781A-32AB-442D-B4A3-9E9A30425097}"/>
    <hyperlink ref="M140" r:id="rId114" xr:uid="{6C2397EA-B36A-46B4-BF1D-9D8BC6582AA0}"/>
    <hyperlink ref="M141" r:id="rId115" xr:uid="{FE7B6F8D-F28A-4155-9249-A84C51DBB068}"/>
    <hyperlink ref="L72" r:id="rId116" xr:uid="{7CF11F0D-08E4-4603-B42C-DFB8BFBF62CB}"/>
    <hyperlink ref="F73" r:id="rId117" xr:uid="{D68549ED-8D8E-4FC0-8697-70256E5FF934}"/>
    <hyperlink ref="O74" r:id="rId118" xr:uid="{F40E307D-9C1C-4CC0-941C-BBD30EA7AB4B}"/>
    <hyperlink ref="O75" r:id="rId119" xr:uid="{8EA37FC8-742D-4CEE-B261-ED868BF422C9}"/>
    <hyperlink ref="O76" r:id="rId120" xr:uid="{DF640006-5240-4CC8-AAE7-4057F380A4EE}"/>
    <hyperlink ref="O77" r:id="rId121" xr:uid="{66F7ACA9-B284-4CFF-911F-7BE6B9A3DA32}"/>
    <hyperlink ref="O78" r:id="rId122" xr:uid="{D02BDF01-8EE5-43B8-8426-798C5486642E}"/>
    <hyperlink ref="O79" r:id="rId123" xr:uid="{F7C52ADB-098B-45FD-AF24-AC251ABF63B2}"/>
    <hyperlink ref="D164" r:id="rId124" xr:uid="{B9D03E2F-E1A6-41C3-85BE-CDC9640E6BF2}"/>
    <hyperlink ref="F164" r:id="rId125" xr:uid="{6240EC8F-6565-4AA6-AD6D-3AF438514660}"/>
    <hyperlink ref="L162" r:id="rId126" xr:uid="{AD4CBA3D-BBB5-401E-BAFC-0D8889061321}"/>
    <hyperlink ref="D81" r:id="rId127" xr:uid="{F85BA49E-501D-42EE-BC29-D1F8F5E1C475}"/>
    <hyperlink ref="F82" r:id="rId128" xr:uid="{709672C8-DB3D-44A0-83E2-86E72B021368}"/>
    <hyperlink ref="D163" r:id="rId129" xr:uid="{5D54EDAA-E133-4B1E-8D3C-545D44B33078}"/>
    <hyperlink ref="D165" r:id="rId130" xr:uid="{FC0571D5-8B41-4BC5-900E-548AC736EE8D}"/>
    <hyperlink ref="F165" r:id="rId131" xr:uid="{3CF4B592-C032-4911-B242-08D80CEAAF1A}"/>
    <hyperlink ref="G164" r:id="rId132" xr:uid="{91BA4377-6BC6-45E5-BE67-A9CF72667803}"/>
    <hyperlink ref="L73" r:id="rId133" xr:uid="{FBE22AA7-29E4-47D4-96EA-DF738B6B399A}"/>
    <hyperlink ref="D80" r:id="rId134" xr:uid="{C037D39D-7472-465D-AFF6-4F486E6E1D06}"/>
    <hyperlink ref="F80" r:id="rId135" xr:uid="{7718F142-2B05-4EB3-A1EA-323BDD9861DA}"/>
    <hyperlink ref="F81" r:id="rId136" xr:uid="{E255C88A-F949-4E00-9B8E-C4525A78F198}"/>
    <hyperlink ref="G81" r:id="rId137" xr:uid="{19041C80-3ACB-4416-A0EC-CEBE00B100CF}"/>
    <hyperlink ref="L81" r:id="rId138" xr:uid="{189A777B-D100-4AF4-B113-0B65FAF82244}"/>
    <hyperlink ref="F163" r:id="rId139" xr:uid="{7A6670AC-AA88-45DB-903C-3CC230FEB302}"/>
    <hyperlink ref="H164" r:id="rId140" xr:uid="{B48D22A8-F083-4E76-BABC-DA6ECCCF26AA}"/>
    <hyperlink ref="I164" r:id="rId141" xr:uid="{8BD8B9C4-6BE3-4EAC-BA82-0BB8B20A885D}"/>
    <hyperlink ref="L164" r:id="rId142" xr:uid="{622E2C50-08E6-4C84-9F00-683E68C11D87}"/>
    <hyperlink ref="L165" r:id="rId143" xr:uid="{2D2A072C-7462-4CD3-AFE8-E414379AB4C9}"/>
    <hyperlink ref="D83" r:id="rId144" xr:uid="{6F82498A-291F-4D00-ABB6-C1B4C9426129}"/>
    <hyperlink ref="F85" r:id="rId145" xr:uid="{B707B840-FFF3-4031-B4B8-09680117962D}"/>
    <hyperlink ref="O72" r:id="rId146" xr:uid="{12979BA3-83D4-4D95-81DA-06D29C5828BC}"/>
    <hyperlink ref="G80" r:id="rId147" xr:uid="{729E1863-C987-424A-8534-0D19A9905546}"/>
    <hyperlink ref="H80" r:id="rId148" xr:uid="{98CFABA3-B1B3-4E22-9892-EC8D7E061A7F}"/>
    <hyperlink ref="F83" r:id="rId149" xr:uid="{E027F1E6-320D-4817-9EEC-F37AFAD7A5C6}"/>
    <hyperlink ref="M146" r:id="rId150" xr:uid="{EE7EA7B9-5CF2-4F8B-880C-284018CA6C91}"/>
    <hyperlink ref="G163" r:id="rId151" xr:uid="{58E6273B-7A08-44DB-AE3C-958FC7A0C88A}"/>
    <hyperlink ref="L163" r:id="rId152" xr:uid="{19736570-F5C5-4D1D-92FD-91CF57412D5B}"/>
    <hyperlink ref="O73" r:id="rId153" xr:uid="{167C8784-E0D3-4150-BF30-CEE382910F46}"/>
    <hyperlink ref="L80" r:id="rId154" xr:uid="{73B8516A-6AF9-4AF1-85FF-7A91AA383B1C}"/>
    <hyperlink ref="L82" r:id="rId155" xr:uid="{990D018B-F57F-4BDF-852E-C60D9822D611}"/>
    <hyperlink ref="F86" r:id="rId156" xr:uid="{4C399B05-4947-43AA-ADC9-C5A8983A4660}"/>
    <hyperlink ref="F87" r:id="rId157" xr:uid="{C9239C15-D9E6-4ED2-8C94-12BBF91C2DDC}"/>
    <hyperlink ref="F166" r:id="rId158" xr:uid="{630C7C75-D5A5-45E3-BC8B-38D378FF7456}"/>
    <hyperlink ref="D166" r:id="rId159" xr:uid="{DEFE6345-A5EB-4B0F-88EA-AB710572A79E}"/>
    <hyperlink ref="D90" r:id="rId160" xr:uid="{BF586479-DEBA-4D37-AD88-6DFE540DEB6D}"/>
    <hyperlink ref="F90" r:id="rId161" xr:uid="{49717550-1937-4EB4-9335-EEFF2A5B598C}"/>
    <hyperlink ref="F84" r:id="rId162" xr:uid="{431E7225-16E7-403E-AC02-5C3A41016D26}"/>
    <hyperlink ref="L83" r:id="rId163" xr:uid="{0A80A0A9-8046-44E9-A570-CF75121E8CEE}"/>
    <hyperlink ref="L85" r:id="rId164" xr:uid="{ACD3E8E9-6D5B-48D7-A43A-DE99630A2B74}"/>
    <hyperlink ref="L87" r:id="rId165" xr:uid="{435862D1-5AD9-4466-B985-C77A5FDFC34B}"/>
    <hyperlink ref="D89" r:id="rId166" xr:uid="{01C039E9-D51B-4CB6-8D6E-85D9C2709BB2}"/>
    <hyperlink ref="F89" r:id="rId167" xr:uid="{F9605589-6D67-42AA-99F8-CFA491E71A88}"/>
    <hyperlink ref="O80" r:id="rId168" xr:uid="{DC8C2218-8148-4F6F-AD8C-4C2C485F1BD4}"/>
    <hyperlink ref="O81" r:id="rId169" xr:uid="{3066578D-E59E-4D03-AB01-6B38668CE301}"/>
    <hyperlink ref="O82" r:id="rId170" xr:uid="{5E4A9CA2-C65B-4672-AAC2-771AAD697A52}"/>
    <hyperlink ref="O83" r:id="rId171" xr:uid="{5CC1BB11-C550-4D0B-BD4C-597D8CB3F134}"/>
    <hyperlink ref="O85" r:id="rId172" xr:uid="{100F0D6C-C84A-4456-AA6C-F917E72F11A7}"/>
    <hyperlink ref="O87" r:id="rId173" xr:uid="{5F0202FD-2479-4129-8F58-4B9303FB17BA}"/>
    <hyperlink ref="O94" r:id="rId174" xr:uid="{8BBAB5DB-D69D-4C9C-B409-1939B52AC2F6}"/>
    <hyperlink ref="O95" r:id="rId175" xr:uid="{E74F76E2-B9CC-4D48-8738-7E81D99132B3}"/>
    <hyperlink ref="L84" r:id="rId176" xr:uid="{0CCF244F-F8C9-4184-B0D2-97E4F264027B}"/>
    <hyperlink ref="L86" r:id="rId177" xr:uid="{98E54EE5-7A48-4869-856C-36D681FE16B2}"/>
    <hyperlink ref="L90" r:id="rId178" xr:uid="{883A6AD5-B8BE-4D62-9C09-28DEAE229ED6}"/>
    <hyperlink ref="F91" r:id="rId179" xr:uid="{D8B61CA8-F942-47EF-BBF5-BB90F539916D}"/>
    <hyperlink ref="F92" r:id="rId180" xr:uid="{CB20D5F4-83C0-4E14-94BC-44D3B6DEA988}"/>
    <hyperlink ref="D92" r:id="rId181" xr:uid="{93206ABB-A9BE-433B-8A01-A75828828F0A}"/>
    <hyperlink ref="D93" r:id="rId182" xr:uid="{B67A72E7-8E3B-4A43-9977-4DFEF729535F}"/>
    <hyperlink ref="G91" r:id="rId183" xr:uid="{D4EAC7EE-7F76-44DB-A222-079F737B5821}"/>
    <hyperlink ref="G166" r:id="rId184" xr:uid="{BACCFC3A-46FC-404F-A95A-8318F6D6172D}"/>
    <hyperlink ref="F93" r:id="rId185" xr:uid="{E3691D0F-B9C7-410B-A8D0-04D7B85646CF}"/>
    <hyperlink ref="L166" r:id="rId186" xr:uid="{CA050D36-F467-425D-A4AF-B323F1217606}"/>
    <hyperlink ref="F124" r:id="rId187" xr:uid="{1F14AEF1-FDD1-425A-8E34-8C76A8B71E07}"/>
    <hyperlink ref="G89" r:id="rId188" xr:uid="{5BF0B810-0F53-4D91-98F2-23F184776A52}"/>
    <hyperlink ref="G92" r:id="rId189" xr:uid="{43F1A2B3-E502-400F-AFF2-A2D0277BB4B0}"/>
    <hyperlink ref="L89" r:id="rId190" xr:uid="{04725A39-1DB1-46C4-8FCB-11B4185CA021}"/>
    <hyperlink ref="L92" r:id="rId191" xr:uid="{2D482A06-EFC6-424B-8F46-A514E2951872}"/>
    <hyperlink ref="O90" r:id="rId192" xr:uid="{16A8D7A3-8B0A-4392-8FE6-25498E26DEB4}"/>
    <hyperlink ref="G93" r:id="rId193" xr:uid="{50F76AEA-DCB0-4E0D-AEE7-3D55EFF70942}"/>
    <hyperlink ref="G124" r:id="rId194" xr:uid="{3AC35405-A8A1-4E9D-B236-63000931C483}"/>
    <hyperlink ref="O36" r:id="rId195" xr:uid="{CAEE94F6-9BB7-4744-B284-2B0792304216}"/>
    <hyperlink ref="O86" r:id="rId196" xr:uid="{298701BE-030F-417D-BACF-47900E54EA88}"/>
    <hyperlink ref="O89" r:id="rId197" xr:uid="{BB0AAA85-9238-4A48-A4AA-2FB95D3CE90A}"/>
    <hyperlink ref="O96" r:id="rId198" xr:uid="{16B26428-E667-41C3-A3EC-DA1409D96A9A}"/>
    <hyperlink ref="O97" r:id="rId199" xr:uid="{3830C38C-4E1E-4F07-A504-24AA7E88B508}"/>
    <hyperlink ref="L93" r:id="rId200" xr:uid="{F523C094-37B7-48D4-8562-69A947D8ED80}"/>
    <hyperlink ref="D88" r:id="rId201" xr:uid="{D1849422-A1AD-45AE-BB0F-3FF27420DAE4}"/>
    <hyperlink ref="O164" r:id="rId202" xr:uid="{6B1F6908-D30D-466D-816A-6A1C604C807A}"/>
    <hyperlink ref="O165" r:id="rId203" xr:uid="{0173D56F-D6B1-4EE7-A9A9-BBE8D7E82F68}"/>
    <hyperlink ref="D99" r:id="rId204" xr:uid="{C863019F-B5DD-4469-812F-B14CCAF4E4AD}"/>
    <hyperlink ref="L91" r:id="rId205" xr:uid="{C6DBB10A-C808-4309-B7F8-632435E7FB1D}"/>
    <hyperlink ref="F88" r:id="rId206" xr:uid="{45A5E41D-C6B8-4906-B10B-A5F416FFAFBD}"/>
    <hyperlink ref="L88" r:id="rId207" xr:uid="{8BFDB6BE-D0FC-4C34-8E1C-9AF57C3A1EEA}"/>
    <hyperlink ref="O91" r:id="rId208" xr:uid="{8F7A55BE-91F8-4617-810C-AE887C1F47CC}"/>
    <hyperlink ref="O93" r:id="rId209" xr:uid="{D88A691B-2ADA-4E1E-AC54-73D999919181}"/>
    <hyperlink ref="O98" r:id="rId210" xr:uid="{E798D8E9-81F1-46BF-A856-15C7782CC06F}"/>
    <hyperlink ref="F99" r:id="rId211" xr:uid="{2546B926-0F37-4C66-8FB4-3CE4C8ADA190}"/>
    <hyperlink ref="L124" r:id="rId212" xr:uid="{0591A377-A312-4445-AE49-D8C15842A3F6}"/>
    <hyperlink ref="G99" r:id="rId213" xr:uid="{8968CDC5-7839-4E27-95F7-37769F348B98}"/>
    <hyperlink ref="L99" r:id="rId214" xr:uid="{4035F62D-DBD8-4108-B9C6-88863541BAB1}"/>
    <hyperlink ref="O100" r:id="rId215" xr:uid="{4F706D25-C51C-4900-9EC1-C1433189CA85}"/>
    <hyperlink ref="O101" r:id="rId216" xr:uid="{E8A729B7-6274-4FCC-A0A1-B3D9588BCFCB}"/>
    <hyperlink ref="O99" r:id="rId217" xr:uid="{6C6647E6-D81A-4828-B5C7-E7956825265C}"/>
    <hyperlink ref="O88" r:id="rId218" xr:uid="{4D0A7753-CB23-4593-8E60-223FD923490E}"/>
    <hyperlink ref="O166" r:id="rId219" xr:uid="{8C590F10-FFAA-4806-87F4-4750FD26A9A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3F60-77D6-4607-ADB1-D0D743B935C4}">
  <dimension ref="A1:AH602"/>
  <sheetViews>
    <sheetView topLeftCell="A53" workbookViewId="0">
      <selection activeCell="B67" sqref="B67"/>
    </sheetView>
  </sheetViews>
  <sheetFormatPr defaultColWidth="9.42578125" defaultRowHeight="11.25" x14ac:dyDescent="0.2"/>
  <cols>
    <col min="1" max="1" width="6.5703125" style="1" customWidth="1"/>
    <col min="2" max="2" width="47.42578125" style="1" customWidth="1"/>
    <col min="3" max="3" width="8.5703125" style="1" customWidth="1"/>
    <col min="4" max="4" width="8.5703125" style="10" customWidth="1"/>
    <col min="5" max="5" width="16" style="1" customWidth="1"/>
    <col min="6" max="11" width="9.42578125" style="1" customWidth="1"/>
    <col min="12" max="12" width="10.42578125" style="14" customWidth="1"/>
    <col min="13" max="13" width="11.42578125" style="14" bestFit="1" customWidth="1"/>
    <col min="14" max="14" width="9.5703125" style="14" bestFit="1" customWidth="1"/>
    <col min="15" max="15" width="11.5703125" style="1" bestFit="1" customWidth="1"/>
    <col min="16" max="16" width="11.42578125" style="1" bestFit="1" customWidth="1"/>
    <col min="17" max="17" width="7.42578125" style="1" bestFit="1" customWidth="1"/>
    <col min="18" max="18" width="24.5703125" style="1" bestFit="1" customWidth="1"/>
    <col min="19" max="20" width="16.42578125" style="1" bestFit="1" customWidth="1"/>
    <col min="21" max="21" width="16.42578125" style="1" customWidth="1"/>
    <col min="22" max="22" width="9.42578125" style="14" bestFit="1" customWidth="1"/>
    <col min="23" max="23" width="10.42578125" style="14" bestFit="1" customWidth="1"/>
    <col min="24" max="24" width="28.42578125" style="14" customWidth="1"/>
    <col min="25" max="16384" width="9.42578125" style="1"/>
  </cols>
  <sheetData>
    <row r="1" spans="1:24" x14ac:dyDescent="0.2">
      <c r="A1" s="1" t="s">
        <v>63</v>
      </c>
      <c r="C1" s="174" t="s">
        <v>1492</v>
      </c>
    </row>
    <row r="2" spans="1:24" ht="15" customHeight="1" x14ac:dyDescent="0.2">
      <c r="A2" s="37" t="s">
        <v>56</v>
      </c>
    </row>
    <row r="3" spans="1:24" ht="15" customHeight="1" x14ac:dyDescent="0.2">
      <c r="A3" s="37" t="s">
        <v>55</v>
      </c>
    </row>
    <row r="4" spans="1:24" ht="15" customHeight="1" x14ac:dyDescent="0.2">
      <c r="A4" s="37" t="s">
        <v>57</v>
      </c>
    </row>
    <row r="5" spans="1:24" ht="15" customHeight="1" x14ac:dyDescent="0.2">
      <c r="A5" s="37" t="s">
        <v>58</v>
      </c>
    </row>
    <row r="6" spans="1:24" ht="15" customHeight="1" x14ac:dyDescent="0.2">
      <c r="A6" s="37" t="s">
        <v>60</v>
      </c>
    </row>
    <row r="7" spans="1:24" ht="15" customHeight="1" x14ac:dyDescent="0.2">
      <c r="A7" s="37" t="s">
        <v>61</v>
      </c>
    </row>
    <row r="8" spans="1:24" ht="15" customHeight="1" x14ac:dyDescent="0.2"/>
    <row r="9" spans="1:24" ht="15.75" x14ac:dyDescent="0.25">
      <c r="A9" s="88" t="s">
        <v>33</v>
      </c>
      <c r="B9" s="88"/>
      <c r="R9" s="6"/>
      <c r="S9" s="6"/>
      <c r="T9" s="6"/>
      <c r="U9" s="6"/>
    </row>
    <row r="10" spans="1:24" ht="15.75" x14ac:dyDescent="0.25">
      <c r="A10" s="88" t="s">
        <v>1493</v>
      </c>
      <c r="B10" s="88"/>
      <c r="R10" s="6"/>
      <c r="S10" s="6"/>
      <c r="T10" s="6"/>
      <c r="U10" s="6"/>
      <c r="X10" s="23"/>
    </row>
    <row r="11" spans="1:24" ht="12" thickBot="1" x14ac:dyDescent="0.25">
      <c r="X11" s="23"/>
    </row>
    <row r="12" spans="1:24" ht="11.85" customHeight="1" x14ac:dyDescent="0.2">
      <c r="A12" s="17"/>
      <c r="B12" s="17"/>
      <c r="C12" s="17"/>
      <c r="D12" s="41"/>
      <c r="E12" s="17"/>
      <c r="F12" s="17"/>
      <c r="G12" s="17"/>
      <c r="H12" s="17"/>
      <c r="I12" s="17"/>
      <c r="J12" s="17"/>
      <c r="K12" s="18" t="s">
        <v>10</v>
      </c>
      <c r="L12" s="18"/>
      <c r="M12" s="18" t="s">
        <v>53</v>
      </c>
      <c r="N12" s="18" t="s">
        <v>47</v>
      </c>
      <c r="O12" s="18" t="s">
        <v>37</v>
      </c>
      <c r="P12" s="17"/>
      <c r="Q12" s="17"/>
      <c r="R12" s="18"/>
      <c r="S12" s="18"/>
      <c r="T12" s="18"/>
      <c r="U12" s="18"/>
      <c r="V12" s="18" t="s">
        <v>19</v>
      </c>
      <c r="W12" s="18"/>
      <c r="X12" s="18"/>
    </row>
    <row r="13" spans="1:24" ht="11.85" customHeight="1" x14ac:dyDescent="0.2">
      <c r="A13" s="19" t="s">
        <v>0</v>
      </c>
      <c r="B13" s="19" t="s">
        <v>1</v>
      </c>
      <c r="C13" s="19" t="s">
        <v>0</v>
      </c>
      <c r="D13" s="42" t="s">
        <v>39</v>
      </c>
      <c r="E13" s="19" t="s">
        <v>2</v>
      </c>
      <c r="F13" s="19" t="s">
        <v>0</v>
      </c>
      <c r="G13" s="19" t="s">
        <v>41</v>
      </c>
      <c r="H13" s="19" t="s">
        <v>41</v>
      </c>
      <c r="I13" s="19" t="s">
        <v>41</v>
      </c>
      <c r="J13" s="19" t="s">
        <v>41</v>
      </c>
      <c r="K13" s="19" t="s">
        <v>3</v>
      </c>
      <c r="L13" s="19" t="s">
        <v>51</v>
      </c>
      <c r="M13" s="19" t="s">
        <v>54</v>
      </c>
      <c r="N13" s="19" t="s">
        <v>50</v>
      </c>
      <c r="O13" s="19" t="s">
        <v>38</v>
      </c>
      <c r="P13" s="19" t="s">
        <v>4</v>
      </c>
      <c r="Q13" s="19" t="s">
        <v>4</v>
      </c>
      <c r="R13" s="19" t="s">
        <v>14</v>
      </c>
      <c r="S13" s="19" t="s">
        <v>15</v>
      </c>
      <c r="T13" s="19" t="s">
        <v>16</v>
      </c>
      <c r="U13" s="19" t="s">
        <v>70</v>
      </c>
      <c r="V13" s="19" t="s">
        <v>20</v>
      </c>
      <c r="W13" s="19" t="s">
        <v>26</v>
      </c>
      <c r="X13" s="19" t="s">
        <v>65</v>
      </c>
    </row>
    <row r="14" spans="1:24" ht="11.85" customHeight="1" x14ac:dyDescent="0.2">
      <c r="A14" s="19" t="s">
        <v>5</v>
      </c>
      <c r="B14" s="19"/>
      <c r="C14" s="19" t="s">
        <v>39</v>
      </c>
      <c r="D14" s="42" t="s">
        <v>40</v>
      </c>
      <c r="E14" s="19" t="s">
        <v>7</v>
      </c>
      <c r="F14" s="19" t="s">
        <v>64</v>
      </c>
      <c r="G14" s="19" t="s">
        <v>42</v>
      </c>
      <c r="H14" s="19" t="s">
        <v>43</v>
      </c>
      <c r="I14" s="19" t="s">
        <v>44</v>
      </c>
      <c r="J14" s="19" t="s">
        <v>45</v>
      </c>
      <c r="K14" s="19" t="s">
        <v>6</v>
      </c>
      <c r="L14" s="19" t="s">
        <v>36</v>
      </c>
      <c r="M14" s="19" t="s">
        <v>13</v>
      </c>
      <c r="N14" s="19" t="s">
        <v>13</v>
      </c>
      <c r="O14" s="19" t="s">
        <v>4</v>
      </c>
      <c r="P14" s="19" t="s">
        <v>9</v>
      </c>
      <c r="Q14" s="19" t="s">
        <v>6</v>
      </c>
      <c r="R14" s="19"/>
      <c r="S14" s="19"/>
      <c r="T14" s="19"/>
      <c r="U14" s="19"/>
      <c r="V14" s="19" t="s">
        <v>28</v>
      </c>
      <c r="W14" s="19" t="s">
        <v>27</v>
      </c>
      <c r="X14" s="19"/>
    </row>
    <row r="15" spans="1:24" ht="2.25" customHeight="1" thickBot="1" x14ac:dyDescent="0.25">
      <c r="A15" s="21"/>
      <c r="B15" s="20"/>
      <c r="C15" s="22"/>
      <c r="D15" s="43"/>
      <c r="E15" s="20"/>
      <c r="F15" s="22"/>
      <c r="G15" s="22"/>
      <c r="H15" s="22"/>
      <c r="I15" s="22"/>
      <c r="J15" s="22"/>
      <c r="K15" s="20"/>
      <c r="L15" s="20"/>
      <c r="M15" s="20"/>
      <c r="N15" s="20"/>
      <c r="O15" s="20"/>
      <c r="P15" s="20"/>
      <c r="Q15" s="20"/>
      <c r="R15" s="20"/>
      <c r="S15" s="20"/>
      <c r="T15" s="20"/>
      <c r="U15" s="20"/>
      <c r="V15" s="20"/>
      <c r="W15" s="20"/>
      <c r="X15" s="20"/>
    </row>
    <row r="16" spans="1:24" x14ac:dyDescent="0.2">
      <c r="A16" s="2" t="s">
        <v>1494</v>
      </c>
      <c r="B16" s="81" t="s">
        <v>1495</v>
      </c>
      <c r="C16" s="4">
        <v>43042</v>
      </c>
      <c r="D16" s="48" t="s">
        <v>1496</v>
      </c>
      <c r="E16" s="3" t="s">
        <v>1497</v>
      </c>
      <c r="F16" s="47" t="s">
        <v>1498</v>
      </c>
      <c r="G16" s="47"/>
      <c r="H16" s="4"/>
      <c r="I16" s="4"/>
      <c r="J16" s="4"/>
      <c r="K16" s="4">
        <v>43080</v>
      </c>
      <c r="L16" s="175" t="s">
        <v>1499</v>
      </c>
      <c r="M16" s="31">
        <f>683872.55+735225+707235.35+646591.65+589688.6</f>
        <v>3362613.15</v>
      </c>
      <c r="N16" s="32">
        <v>5</v>
      </c>
      <c r="O16" s="47" t="s">
        <v>1500</v>
      </c>
      <c r="P16" s="89">
        <v>589688.6</v>
      </c>
      <c r="Q16" s="4">
        <v>43122</v>
      </c>
      <c r="R16" s="90" t="s">
        <v>1300</v>
      </c>
      <c r="S16" s="90"/>
      <c r="T16" s="90"/>
      <c r="U16" s="90"/>
      <c r="V16" s="33" t="s">
        <v>926</v>
      </c>
      <c r="W16" s="33" t="s">
        <v>24</v>
      </c>
      <c r="X16" s="53"/>
    </row>
    <row r="17" spans="1:24" ht="22.5" x14ac:dyDescent="0.2">
      <c r="A17" s="2" t="s">
        <v>1501</v>
      </c>
      <c r="B17" s="81" t="s">
        <v>1502</v>
      </c>
      <c r="C17" s="4" t="s">
        <v>73</v>
      </c>
      <c r="D17" s="44" t="s">
        <v>73</v>
      </c>
      <c r="E17" s="3" t="s">
        <v>1503</v>
      </c>
      <c r="F17" s="47" t="s">
        <v>1504</v>
      </c>
      <c r="G17" s="47"/>
      <c r="H17" s="47"/>
      <c r="I17" s="4"/>
      <c r="J17" s="4"/>
      <c r="K17" s="4">
        <v>43047</v>
      </c>
      <c r="L17" s="181" t="s">
        <v>1505</v>
      </c>
      <c r="M17" s="31">
        <f>60000*N17</f>
        <v>120000</v>
      </c>
      <c r="N17" s="32">
        <v>2</v>
      </c>
      <c r="O17" s="49" t="s">
        <v>1506</v>
      </c>
      <c r="P17" s="95">
        <v>60000</v>
      </c>
      <c r="Q17" s="5">
        <v>43080</v>
      </c>
      <c r="R17" s="90" t="s">
        <v>1507</v>
      </c>
      <c r="S17" s="91"/>
      <c r="T17" s="91"/>
      <c r="U17" s="91"/>
      <c r="V17" s="33" t="s">
        <v>926</v>
      </c>
      <c r="W17" s="33" t="s">
        <v>23</v>
      </c>
      <c r="X17" s="53"/>
    </row>
    <row r="18" spans="1:24" ht="22.5" x14ac:dyDescent="0.2">
      <c r="A18" s="2" t="s">
        <v>1508</v>
      </c>
      <c r="B18" s="81" t="s">
        <v>1509</v>
      </c>
      <c r="C18" s="5">
        <v>42992</v>
      </c>
      <c r="D18" s="179" t="s">
        <v>1510</v>
      </c>
      <c r="E18" s="5" t="s">
        <v>1511</v>
      </c>
      <c r="F18" s="49" t="s">
        <v>1512</v>
      </c>
      <c r="G18" s="5"/>
      <c r="H18" s="5"/>
      <c r="I18" s="5"/>
      <c r="J18" s="5"/>
      <c r="K18" s="5">
        <v>43013</v>
      </c>
      <c r="L18" s="49" t="s">
        <v>1513</v>
      </c>
      <c r="M18" s="31">
        <f>4098064.4+5489195+3974810+7992050+8926425</f>
        <v>30480544.399999999</v>
      </c>
      <c r="N18" s="32">
        <v>5</v>
      </c>
      <c r="O18" s="47" t="s">
        <v>1514</v>
      </c>
      <c r="P18" s="89">
        <v>4000000</v>
      </c>
      <c r="Q18" s="4">
        <v>43038</v>
      </c>
      <c r="R18" s="90" t="s">
        <v>1515</v>
      </c>
      <c r="S18" s="90" t="s">
        <v>1516</v>
      </c>
      <c r="T18" s="90"/>
      <c r="U18" s="90"/>
      <c r="V18" s="33" t="s">
        <v>926</v>
      </c>
      <c r="W18" s="33" t="s">
        <v>24</v>
      </c>
      <c r="X18" s="53"/>
    </row>
    <row r="19" spans="1:24" x14ac:dyDescent="0.2">
      <c r="A19" s="2" t="s">
        <v>1517</v>
      </c>
      <c r="B19" s="81" t="s">
        <v>1518</v>
      </c>
      <c r="C19" s="5">
        <v>42992</v>
      </c>
      <c r="D19" s="179" t="s">
        <v>1519</v>
      </c>
      <c r="E19" s="5" t="s">
        <v>1511</v>
      </c>
      <c r="F19" s="49" t="s">
        <v>1520</v>
      </c>
      <c r="G19" s="49" t="s">
        <v>1521</v>
      </c>
      <c r="H19" s="5"/>
      <c r="I19" s="5"/>
      <c r="J19" s="5"/>
      <c r="K19" s="5">
        <v>43013</v>
      </c>
      <c r="L19" s="49" t="s">
        <v>1522</v>
      </c>
      <c r="M19" s="31">
        <f>459634+382863+351681</f>
        <v>1194178</v>
      </c>
      <c r="N19" s="32">
        <v>3</v>
      </c>
      <c r="O19" s="47" t="s">
        <v>1523</v>
      </c>
      <c r="P19" s="89">
        <v>351681</v>
      </c>
      <c r="Q19" s="4">
        <v>43038</v>
      </c>
      <c r="R19" s="90" t="s">
        <v>1524</v>
      </c>
      <c r="S19" s="90"/>
      <c r="T19" s="90"/>
      <c r="U19" s="90"/>
      <c r="V19" s="33" t="s">
        <v>926</v>
      </c>
      <c r="W19" s="33" t="s">
        <v>24</v>
      </c>
      <c r="X19" s="53"/>
    </row>
    <row r="20" spans="1:24" ht="22.5" x14ac:dyDescent="0.2">
      <c r="A20" s="2" t="s">
        <v>1525</v>
      </c>
      <c r="B20" s="81" t="s">
        <v>1526</v>
      </c>
      <c r="C20" s="5" t="s">
        <v>73</v>
      </c>
      <c r="D20" s="44" t="s">
        <v>73</v>
      </c>
      <c r="E20" s="5" t="s">
        <v>86</v>
      </c>
      <c r="F20" s="5" t="s">
        <v>86</v>
      </c>
      <c r="G20" s="5"/>
      <c r="H20" s="5"/>
      <c r="I20" s="5"/>
      <c r="J20" s="5"/>
      <c r="K20" s="5" t="s">
        <v>86</v>
      </c>
      <c r="L20" s="5" t="s">
        <v>86</v>
      </c>
      <c r="M20" s="31">
        <v>150000</v>
      </c>
      <c r="N20" s="32">
        <v>1</v>
      </c>
      <c r="O20" s="47" t="s">
        <v>1527</v>
      </c>
      <c r="P20" s="89">
        <v>150000</v>
      </c>
      <c r="Q20" s="4">
        <v>43003</v>
      </c>
      <c r="R20" s="90" t="s">
        <v>1528</v>
      </c>
      <c r="S20" s="90"/>
      <c r="T20" s="90"/>
      <c r="U20" s="90"/>
      <c r="V20" s="33" t="s">
        <v>931</v>
      </c>
      <c r="W20" s="33" t="s">
        <v>22</v>
      </c>
      <c r="X20" s="53" t="s">
        <v>981</v>
      </c>
    </row>
    <row r="21" spans="1:24" x14ac:dyDescent="0.2">
      <c r="A21" s="2" t="s">
        <v>1529</v>
      </c>
      <c r="B21" s="81" t="s">
        <v>1530</v>
      </c>
      <c r="C21" s="5" t="s">
        <v>73</v>
      </c>
      <c r="D21" s="44" t="s">
        <v>73</v>
      </c>
      <c r="E21" s="5" t="s">
        <v>1531</v>
      </c>
      <c r="F21" s="49" t="s">
        <v>1532</v>
      </c>
      <c r="G21" s="5"/>
      <c r="H21" s="5"/>
      <c r="I21" s="5"/>
      <c r="J21" s="5"/>
      <c r="K21" s="5">
        <v>43040</v>
      </c>
      <c r="L21" s="49" t="s">
        <v>1533</v>
      </c>
      <c r="M21" s="31">
        <f>60000*N21</f>
        <v>180000</v>
      </c>
      <c r="N21" s="32">
        <v>3</v>
      </c>
      <c r="O21" s="47" t="s">
        <v>1534</v>
      </c>
      <c r="P21" s="89">
        <v>60000</v>
      </c>
      <c r="Q21" s="4">
        <v>43080</v>
      </c>
      <c r="R21" s="90" t="s">
        <v>1535</v>
      </c>
      <c r="S21" s="90"/>
      <c r="T21" s="90"/>
      <c r="U21" s="90"/>
      <c r="V21" s="33" t="s">
        <v>926</v>
      </c>
      <c r="W21" s="33" t="s">
        <v>22</v>
      </c>
      <c r="X21" s="53"/>
    </row>
    <row r="22" spans="1:24" ht="17.25" customHeight="1" x14ac:dyDescent="0.2">
      <c r="A22" s="2" t="s">
        <v>1536</v>
      </c>
      <c r="B22" s="81" t="s">
        <v>1537</v>
      </c>
      <c r="C22" s="5" t="s">
        <v>73</v>
      </c>
      <c r="D22" s="44" t="s">
        <v>73</v>
      </c>
      <c r="E22" s="5" t="s">
        <v>86</v>
      </c>
      <c r="F22" s="5" t="s">
        <v>86</v>
      </c>
      <c r="G22" s="5"/>
      <c r="H22" s="5"/>
      <c r="I22" s="5"/>
      <c r="J22" s="5"/>
      <c r="K22" s="5" t="s">
        <v>86</v>
      </c>
      <c r="L22" s="5" t="s">
        <v>86</v>
      </c>
      <c r="M22" s="31">
        <v>127735</v>
      </c>
      <c r="N22" s="32">
        <v>1</v>
      </c>
      <c r="O22" s="47" t="s">
        <v>1538</v>
      </c>
      <c r="P22" s="89">
        <v>127735</v>
      </c>
      <c r="Q22" s="4">
        <v>43003</v>
      </c>
      <c r="R22" s="90" t="s">
        <v>285</v>
      </c>
      <c r="S22" s="90"/>
      <c r="T22" s="90"/>
      <c r="U22" s="90"/>
      <c r="V22" s="33" t="s">
        <v>931</v>
      </c>
      <c r="W22" s="33" t="s">
        <v>24</v>
      </c>
      <c r="X22" s="53" t="s">
        <v>286</v>
      </c>
    </row>
    <row r="23" spans="1:24" ht="22.5" x14ac:dyDescent="0.2">
      <c r="A23" s="2" t="s">
        <v>1539</v>
      </c>
      <c r="B23" s="81" t="s">
        <v>1540</v>
      </c>
      <c r="C23" s="5" t="s">
        <v>73</v>
      </c>
      <c r="D23" s="44" t="s">
        <v>73</v>
      </c>
      <c r="E23" s="5" t="s">
        <v>1541</v>
      </c>
      <c r="F23" s="49" t="s">
        <v>1542</v>
      </c>
      <c r="G23" s="49" t="s">
        <v>1543</v>
      </c>
      <c r="H23" s="49" t="s">
        <v>1544</v>
      </c>
      <c r="I23" s="49" t="s">
        <v>1545</v>
      </c>
      <c r="J23" s="5"/>
      <c r="K23" s="5" t="s">
        <v>86</v>
      </c>
      <c r="L23" s="5" t="s">
        <v>86</v>
      </c>
      <c r="M23" s="31">
        <v>0</v>
      </c>
      <c r="N23" s="32" t="s">
        <v>86</v>
      </c>
      <c r="O23" s="47"/>
      <c r="P23" s="95"/>
      <c r="Q23" s="4"/>
      <c r="R23" s="90"/>
      <c r="S23" s="90"/>
      <c r="T23" s="90"/>
      <c r="U23" s="90"/>
      <c r="V23" s="33" t="s">
        <v>926</v>
      </c>
      <c r="W23" s="33" t="s">
        <v>22</v>
      </c>
      <c r="X23" s="53"/>
    </row>
    <row r="24" spans="1:24" ht="22.5" x14ac:dyDescent="0.2">
      <c r="A24" s="2" t="s">
        <v>1546</v>
      </c>
      <c r="B24" s="81" t="s">
        <v>958</v>
      </c>
      <c r="C24" s="5" t="s">
        <v>73</v>
      </c>
      <c r="D24" s="44" t="s">
        <v>73</v>
      </c>
      <c r="E24" s="5" t="s">
        <v>86</v>
      </c>
      <c r="F24" s="5" t="s">
        <v>86</v>
      </c>
      <c r="G24" s="5"/>
      <c r="H24" s="5"/>
      <c r="I24" s="5"/>
      <c r="J24" s="5"/>
      <c r="K24" s="5" t="s">
        <v>86</v>
      </c>
      <c r="L24" s="5" t="s">
        <v>86</v>
      </c>
      <c r="M24" s="31">
        <v>72419</v>
      </c>
      <c r="N24" s="32">
        <v>1</v>
      </c>
      <c r="O24" s="47" t="s">
        <v>1547</v>
      </c>
      <c r="P24" s="89">
        <v>72419</v>
      </c>
      <c r="Q24" s="4">
        <v>43017</v>
      </c>
      <c r="R24" s="90" t="s">
        <v>960</v>
      </c>
      <c r="S24" s="90"/>
      <c r="T24" s="90"/>
      <c r="U24" s="90"/>
      <c r="V24" s="33" t="s">
        <v>931</v>
      </c>
      <c r="W24" s="33" t="s">
        <v>22</v>
      </c>
      <c r="X24" s="53" t="s">
        <v>961</v>
      </c>
    </row>
    <row r="25" spans="1:24" x14ac:dyDescent="0.2">
      <c r="A25" s="2" t="s">
        <v>1548</v>
      </c>
      <c r="B25" s="81" t="s">
        <v>1549</v>
      </c>
      <c r="C25" s="4" t="s">
        <v>73</v>
      </c>
      <c r="D25" s="44" t="s">
        <v>73</v>
      </c>
      <c r="E25" s="3" t="s">
        <v>1550</v>
      </c>
      <c r="F25" s="47" t="s">
        <v>1551</v>
      </c>
      <c r="G25" s="4"/>
      <c r="H25" s="4"/>
      <c r="I25" s="4"/>
      <c r="J25" s="4"/>
      <c r="K25" s="4">
        <v>43074</v>
      </c>
      <c r="L25" s="181" t="s">
        <v>1552</v>
      </c>
      <c r="M25" s="31">
        <f>130000*N25</f>
        <v>260000</v>
      </c>
      <c r="N25" s="32">
        <v>2</v>
      </c>
      <c r="O25" s="47" t="s">
        <v>1553</v>
      </c>
      <c r="P25" s="89">
        <v>130000</v>
      </c>
      <c r="Q25" s="4">
        <v>43122</v>
      </c>
      <c r="R25" s="90" t="s">
        <v>1554</v>
      </c>
      <c r="S25" s="90"/>
      <c r="T25" s="90"/>
      <c r="U25" s="90"/>
      <c r="V25" s="33" t="s">
        <v>926</v>
      </c>
      <c r="W25" s="33" t="s">
        <v>23</v>
      </c>
      <c r="X25" s="53"/>
    </row>
    <row r="26" spans="1:24" ht="22.5" x14ac:dyDescent="0.2">
      <c r="A26" s="2" t="s">
        <v>1555</v>
      </c>
      <c r="B26" s="81" t="s">
        <v>1556</v>
      </c>
      <c r="C26" s="4" t="s">
        <v>73</v>
      </c>
      <c r="D26" s="44" t="s">
        <v>73</v>
      </c>
      <c r="E26" s="3" t="s">
        <v>1557</v>
      </c>
      <c r="F26" s="47" t="s">
        <v>1558</v>
      </c>
      <c r="G26" s="47"/>
      <c r="H26" s="4"/>
      <c r="I26" s="4"/>
      <c r="J26" s="4"/>
      <c r="K26" s="4">
        <v>43049</v>
      </c>
      <c r="L26" s="181" t="s">
        <v>1559</v>
      </c>
      <c r="M26" s="31">
        <f>65000*N26</f>
        <v>390000</v>
      </c>
      <c r="N26" s="32">
        <v>6</v>
      </c>
      <c r="O26" s="47" t="s">
        <v>1560</v>
      </c>
      <c r="P26" s="89">
        <v>65000</v>
      </c>
      <c r="Q26" s="4">
        <v>43080</v>
      </c>
      <c r="R26" s="90" t="s">
        <v>1561</v>
      </c>
      <c r="S26" s="90"/>
      <c r="T26" s="90"/>
      <c r="U26" s="90"/>
      <c r="V26" s="33" t="s">
        <v>926</v>
      </c>
      <c r="W26" s="33" t="s">
        <v>23</v>
      </c>
      <c r="X26" s="53"/>
    </row>
    <row r="27" spans="1:24" x14ac:dyDescent="0.2">
      <c r="A27" s="2" t="s">
        <v>1562</v>
      </c>
      <c r="B27" s="81" t="s">
        <v>1563</v>
      </c>
      <c r="C27" s="4" t="s">
        <v>73</v>
      </c>
      <c r="D27" s="44" t="s">
        <v>73</v>
      </c>
      <c r="E27" s="3" t="s">
        <v>1557</v>
      </c>
      <c r="F27" s="47" t="s">
        <v>1564</v>
      </c>
      <c r="G27" s="47"/>
      <c r="H27" s="4"/>
      <c r="I27" s="4"/>
      <c r="J27" s="4"/>
      <c r="K27" s="4">
        <v>43048</v>
      </c>
      <c r="L27" s="185" t="s">
        <v>1565</v>
      </c>
      <c r="M27" s="31">
        <f>150000*N27</f>
        <v>900000</v>
      </c>
      <c r="N27" s="32">
        <v>6</v>
      </c>
      <c r="O27" s="47" t="s">
        <v>1566</v>
      </c>
      <c r="P27" s="89">
        <v>150000</v>
      </c>
      <c r="Q27" s="4">
        <v>43080</v>
      </c>
      <c r="R27" s="90" t="s">
        <v>1567</v>
      </c>
      <c r="S27" s="90"/>
      <c r="T27" s="90"/>
      <c r="U27" s="90"/>
      <c r="V27" s="33" t="s">
        <v>926</v>
      </c>
      <c r="W27" s="33" t="s">
        <v>24</v>
      </c>
      <c r="X27" s="53"/>
    </row>
    <row r="28" spans="1:24" x14ac:dyDescent="0.2">
      <c r="A28" s="2" t="s">
        <v>1568</v>
      </c>
      <c r="B28" s="81" t="s">
        <v>1569</v>
      </c>
      <c r="C28" s="5" t="s">
        <v>73</v>
      </c>
      <c r="D28" s="44" t="s">
        <v>73</v>
      </c>
      <c r="E28" s="5" t="s">
        <v>86</v>
      </c>
      <c r="F28" s="5" t="s">
        <v>86</v>
      </c>
      <c r="G28" s="5"/>
      <c r="H28" s="5"/>
      <c r="I28" s="5"/>
      <c r="J28" s="5"/>
      <c r="K28" s="5" t="s">
        <v>86</v>
      </c>
      <c r="L28" s="5" t="s">
        <v>86</v>
      </c>
      <c r="M28" s="31">
        <v>378000</v>
      </c>
      <c r="N28" s="32">
        <v>1</v>
      </c>
      <c r="O28" s="47" t="s">
        <v>1570</v>
      </c>
      <c r="P28" s="140">
        <v>378000</v>
      </c>
      <c r="Q28" s="4">
        <v>43017</v>
      </c>
      <c r="R28" s="90" t="s">
        <v>556</v>
      </c>
      <c r="S28" s="90"/>
      <c r="T28" s="90"/>
      <c r="U28" s="90"/>
      <c r="V28" s="33" t="s">
        <v>931</v>
      </c>
      <c r="W28" s="33" t="s">
        <v>22</v>
      </c>
      <c r="X28" s="53" t="s">
        <v>318</v>
      </c>
    </row>
    <row r="29" spans="1:24" x14ac:dyDescent="0.2">
      <c r="A29" s="2" t="s">
        <v>1571</v>
      </c>
      <c r="B29" s="81" t="s">
        <v>1572</v>
      </c>
      <c r="C29" s="5" t="s">
        <v>73</v>
      </c>
      <c r="D29" s="44" t="s">
        <v>73</v>
      </c>
      <c r="E29" s="5" t="s">
        <v>1573</v>
      </c>
      <c r="F29" s="49" t="s">
        <v>1574</v>
      </c>
      <c r="G29" s="5"/>
      <c r="H29" s="5"/>
      <c r="I29" s="5"/>
      <c r="J29" s="5"/>
      <c r="K29" s="5">
        <v>43060</v>
      </c>
      <c r="L29" s="5" t="s">
        <v>86</v>
      </c>
      <c r="M29" s="31">
        <v>0</v>
      </c>
      <c r="N29" s="32">
        <v>0</v>
      </c>
      <c r="O29" s="47"/>
      <c r="P29" s="56"/>
      <c r="Q29" s="4"/>
      <c r="R29" s="90"/>
      <c r="S29" s="90"/>
      <c r="T29" s="90"/>
      <c r="U29" s="90"/>
      <c r="V29" s="33" t="s">
        <v>926</v>
      </c>
      <c r="W29" s="33" t="s">
        <v>22</v>
      </c>
      <c r="X29" s="53" t="s">
        <v>1575</v>
      </c>
    </row>
    <row r="30" spans="1:24" x14ac:dyDescent="0.2">
      <c r="A30" s="2" t="s">
        <v>1576</v>
      </c>
      <c r="B30" s="81" t="s">
        <v>1577</v>
      </c>
      <c r="C30" s="5" t="s">
        <v>73</v>
      </c>
      <c r="D30" s="44" t="s">
        <v>73</v>
      </c>
      <c r="E30" s="5" t="s">
        <v>86</v>
      </c>
      <c r="F30" s="5" t="s">
        <v>86</v>
      </c>
      <c r="G30" s="5"/>
      <c r="H30" s="5"/>
      <c r="I30" s="5"/>
      <c r="J30" s="5"/>
      <c r="K30" s="5" t="s">
        <v>86</v>
      </c>
      <c r="L30" s="5" t="s">
        <v>86</v>
      </c>
      <c r="M30" s="31">
        <v>208375</v>
      </c>
      <c r="N30" s="32">
        <v>1</v>
      </c>
      <c r="O30" s="47" t="s">
        <v>1578</v>
      </c>
      <c r="P30" s="89">
        <v>208375</v>
      </c>
      <c r="Q30" s="4">
        <v>43017</v>
      </c>
      <c r="R30" s="90" t="s">
        <v>1579</v>
      </c>
      <c r="S30" s="90"/>
      <c r="T30" s="90"/>
      <c r="U30" s="90"/>
      <c r="V30" s="33" t="s">
        <v>931</v>
      </c>
      <c r="W30" s="33" t="s">
        <v>22</v>
      </c>
      <c r="X30" s="53" t="s">
        <v>309</v>
      </c>
    </row>
    <row r="31" spans="1:24" ht="22.5" x14ac:dyDescent="0.2">
      <c r="A31" s="2" t="s">
        <v>1580</v>
      </c>
      <c r="B31" s="81" t="s">
        <v>1581</v>
      </c>
      <c r="C31" s="4" t="s">
        <v>73</v>
      </c>
      <c r="D31" s="44" t="s">
        <v>73</v>
      </c>
      <c r="E31" s="3" t="s">
        <v>86</v>
      </c>
      <c r="F31" s="5" t="s">
        <v>86</v>
      </c>
      <c r="G31" s="4"/>
      <c r="H31" s="4"/>
      <c r="I31" s="4"/>
      <c r="J31" s="4"/>
      <c r="K31" s="4" t="s">
        <v>86</v>
      </c>
      <c r="L31" s="5" t="s">
        <v>86</v>
      </c>
      <c r="M31" s="31">
        <v>290500</v>
      </c>
      <c r="N31" s="32">
        <v>1</v>
      </c>
      <c r="O31" s="47" t="s">
        <v>1582</v>
      </c>
      <c r="P31" s="89">
        <v>290500</v>
      </c>
      <c r="Q31" s="4">
        <v>43017</v>
      </c>
      <c r="R31" s="90" t="s">
        <v>1583</v>
      </c>
      <c r="S31" s="90"/>
      <c r="T31" s="90"/>
      <c r="U31" s="90"/>
      <c r="V31" s="33" t="s">
        <v>931</v>
      </c>
      <c r="W31" s="33" t="s">
        <v>22</v>
      </c>
      <c r="X31" s="53" t="s">
        <v>1584</v>
      </c>
    </row>
    <row r="32" spans="1:24" ht="22.5" x14ac:dyDescent="0.2">
      <c r="A32" s="2" t="s">
        <v>1585</v>
      </c>
      <c r="B32" s="81" t="s">
        <v>1586</v>
      </c>
      <c r="C32" s="5" t="s">
        <v>73</v>
      </c>
      <c r="D32" s="44" t="s">
        <v>73</v>
      </c>
      <c r="E32" s="5" t="s">
        <v>86</v>
      </c>
      <c r="F32" s="5" t="s">
        <v>86</v>
      </c>
      <c r="G32" s="5"/>
      <c r="H32" s="5"/>
      <c r="I32" s="5"/>
      <c r="J32" s="5"/>
      <c r="K32" s="5" t="s">
        <v>86</v>
      </c>
      <c r="L32" s="5" t="s">
        <v>86</v>
      </c>
      <c r="M32" s="31">
        <v>319156</v>
      </c>
      <c r="N32" s="32">
        <v>1</v>
      </c>
      <c r="O32" s="47" t="s">
        <v>1587</v>
      </c>
      <c r="P32" s="89">
        <v>319156</v>
      </c>
      <c r="Q32" s="4">
        <v>43017</v>
      </c>
      <c r="R32" s="90" t="s">
        <v>115</v>
      </c>
      <c r="S32" s="90"/>
      <c r="T32" s="90"/>
      <c r="U32" s="90"/>
      <c r="V32" s="33" t="s">
        <v>931</v>
      </c>
      <c r="W32" s="33" t="s">
        <v>22</v>
      </c>
      <c r="X32" s="53" t="s">
        <v>322</v>
      </c>
    </row>
    <row r="33" spans="1:24" ht="22.5" x14ac:dyDescent="0.2">
      <c r="A33" s="2" t="s">
        <v>1588</v>
      </c>
      <c r="B33" s="81" t="s">
        <v>1589</v>
      </c>
      <c r="C33" s="5" t="s">
        <v>73</v>
      </c>
      <c r="D33" s="44" t="s">
        <v>73</v>
      </c>
      <c r="E33" s="5" t="s">
        <v>86</v>
      </c>
      <c r="F33" s="5" t="s">
        <v>86</v>
      </c>
      <c r="G33" s="5"/>
      <c r="H33" s="5"/>
      <c r="I33" s="5"/>
      <c r="J33" s="5"/>
      <c r="K33" s="5" t="s">
        <v>86</v>
      </c>
      <c r="L33" s="5" t="s">
        <v>86</v>
      </c>
      <c r="M33" s="31">
        <v>116282</v>
      </c>
      <c r="N33" s="32">
        <v>1</v>
      </c>
      <c r="O33" s="47" t="s">
        <v>1590</v>
      </c>
      <c r="P33" s="89">
        <v>116282</v>
      </c>
      <c r="Q33" s="4">
        <v>43017</v>
      </c>
      <c r="R33" s="90" t="s">
        <v>1591</v>
      </c>
      <c r="S33" s="90"/>
      <c r="T33" s="90"/>
      <c r="U33" s="90"/>
      <c r="V33" s="33" t="s">
        <v>931</v>
      </c>
      <c r="W33" s="33" t="s">
        <v>22</v>
      </c>
      <c r="X33" s="53" t="s">
        <v>1592</v>
      </c>
    </row>
    <row r="34" spans="1:24" x14ac:dyDescent="0.2">
      <c r="A34" s="2" t="s">
        <v>1593</v>
      </c>
      <c r="B34" s="81" t="s">
        <v>1594</v>
      </c>
      <c r="C34" s="5" t="s">
        <v>73</v>
      </c>
      <c r="D34" s="44" t="s">
        <v>73</v>
      </c>
      <c r="E34" s="5" t="s">
        <v>1595</v>
      </c>
      <c r="F34" s="49" t="s">
        <v>1596</v>
      </c>
      <c r="G34" s="49"/>
      <c r="H34" s="5"/>
      <c r="I34" s="5"/>
      <c r="J34" s="5"/>
      <c r="K34" s="5">
        <v>43181</v>
      </c>
      <c r="L34" s="49" t="s">
        <v>1597</v>
      </c>
      <c r="M34" s="31">
        <f>50000*N34</f>
        <v>50000</v>
      </c>
      <c r="N34" s="32">
        <v>1</v>
      </c>
      <c r="O34" s="177" t="s">
        <v>1598</v>
      </c>
      <c r="P34" s="89">
        <v>50000</v>
      </c>
      <c r="Q34" s="94">
        <v>43199</v>
      </c>
      <c r="R34" s="90" t="s">
        <v>1599</v>
      </c>
      <c r="S34" s="90"/>
      <c r="T34" s="90"/>
      <c r="U34" s="90"/>
      <c r="V34" s="33" t="s">
        <v>926</v>
      </c>
      <c r="W34" s="33" t="s">
        <v>22</v>
      </c>
      <c r="X34" s="53"/>
    </row>
    <row r="35" spans="1:24" ht="22.5" x14ac:dyDescent="0.2">
      <c r="A35" s="2" t="s">
        <v>1600</v>
      </c>
      <c r="B35" s="81" t="s">
        <v>1601</v>
      </c>
      <c r="C35" s="4" t="s">
        <v>73</v>
      </c>
      <c r="D35" s="44" t="s">
        <v>73</v>
      </c>
      <c r="E35" s="3" t="s">
        <v>86</v>
      </c>
      <c r="F35" s="5" t="s">
        <v>86</v>
      </c>
      <c r="G35" s="47"/>
      <c r="H35" s="4"/>
      <c r="I35" s="4"/>
      <c r="J35" s="4"/>
      <c r="K35" s="4" t="s">
        <v>86</v>
      </c>
      <c r="L35" s="5" t="s">
        <v>86</v>
      </c>
      <c r="M35" s="31">
        <v>874245</v>
      </c>
      <c r="N35" s="32">
        <v>1</v>
      </c>
      <c r="O35" s="177" t="s">
        <v>1602</v>
      </c>
      <c r="P35" s="89">
        <v>874245</v>
      </c>
      <c r="Q35" s="94">
        <v>43038</v>
      </c>
      <c r="R35" s="90" t="s">
        <v>1603</v>
      </c>
      <c r="S35" s="90"/>
      <c r="T35" s="90"/>
      <c r="U35" s="90"/>
      <c r="V35" s="33" t="s">
        <v>931</v>
      </c>
      <c r="W35" s="33" t="s">
        <v>22</v>
      </c>
      <c r="X35" s="53" t="s">
        <v>935</v>
      </c>
    </row>
    <row r="36" spans="1:24" ht="22.5" x14ac:dyDescent="0.2">
      <c r="A36" s="2" t="s">
        <v>1604</v>
      </c>
      <c r="B36" s="81" t="s">
        <v>1605</v>
      </c>
      <c r="C36" s="4" t="s">
        <v>73</v>
      </c>
      <c r="D36" s="44" t="s">
        <v>73</v>
      </c>
      <c r="E36" s="3" t="s">
        <v>86</v>
      </c>
      <c r="F36" s="5" t="s">
        <v>86</v>
      </c>
      <c r="G36" s="47"/>
      <c r="H36" s="4"/>
      <c r="I36" s="4"/>
      <c r="J36" s="4"/>
      <c r="K36" s="4" t="s">
        <v>86</v>
      </c>
      <c r="L36" s="5" t="s">
        <v>86</v>
      </c>
      <c r="M36" s="31">
        <v>299052.42</v>
      </c>
      <c r="N36" s="32">
        <v>1</v>
      </c>
      <c r="O36" s="177" t="s">
        <v>1606</v>
      </c>
      <c r="P36" s="89">
        <v>299052.42</v>
      </c>
      <c r="Q36" s="94">
        <v>43038</v>
      </c>
      <c r="R36" s="90" t="s">
        <v>196</v>
      </c>
      <c r="S36" s="90"/>
      <c r="T36" s="90"/>
      <c r="U36" s="90"/>
      <c r="V36" s="33" t="s">
        <v>931</v>
      </c>
      <c r="W36" s="33" t="s">
        <v>22</v>
      </c>
      <c r="X36" s="53" t="s">
        <v>949</v>
      </c>
    </row>
    <row r="37" spans="1:24" ht="22.5" x14ac:dyDescent="0.2">
      <c r="A37" s="2" t="s">
        <v>1607</v>
      </c>
      <c r="B37" s="81" t="s">
        <v>1608</v>
      </c>
      <c r="C37" s="4" t="s">
        <v>73</v>
      </c>
      <c r="D37" s="44" t="s">
        <v>73</v>
      </c>
      <c r="E37" s="3" t="s">
        <v>86</v>
      </c>
      <c r="F37" s="5" t="s">
        <v>86</v>
      </c>
      <c r="G37" s="5"/>
      <c r="H37" s="5"/>
      <c r="I37" s="5"/>
      <c r="J37" s="5"/>
      <c r="K37" s="4" t="s">
        <v>86</v>
      </c>
      <c r="L37" s="5" t="s">
        <v>86</v>
      </c>
      <c r="M37" s="31">
        <v>37852.43</v>
      </c>
      <c r="N37" s="32">
        <v>1</v>
      </c>
      <c r="O37" s="177" t="s">
        <v>1609</v>
      </c>
      <c r="P37" s="89">
        <v>37852.43</v>
      </c>
      <c r="Q37" s="94">
        <v>43038</v>
      </c>
      <c r="R37" s="90" t="s">
        <v>1610</v>
      </c>
      <c r="S37" s="90"/>
      <c r="T37" s="90"/>
      <c r="U37" s="90"/>
      <c r="V37" s="33" t="s">
        <v>931</v>
      </c>
      <c r="W37" s="33" t="s">
        <v>22</v>
      </c>
      <c r="X37" s="53" t="s">
        <v>949</v>
      </c>
    </row>
    <row r="38" spans="1:24" ht="22.5" x14ac:dyDescent="0.2">
      <c r="A38" s="2" t="s">
        <v>1611</v>
      </c>
      <c r="B38" s="141" t="s">
        <v>1612</v>
      </c>
      <c r="C38" s="4" t="s">
        <v>73</v>
      </c>
      <c r="D38" s="44" t="s">
        <v>73</v>
      </c>
      <c r="E38" s="3" t="s">
        <v>86</v>
      </c>
      <c r="F38" s="5" t="s">
        <v>86</v>
      </c>
      <c r="G38" s="5"/>
      <c r="H38" s="5"/>
      <c r="I38" s="5"/>
      <c r="J38" s="5"/>
      <c r="K38" s="4" t="s">
        <v>86</v>
      </c>
      <c r="L38" s="5" t="s">
        <v>86</v>
      </c>
      <c r="M38" s="31">
        <v>24325.02</v>
      </c>
      <c r="N38" s="32">
        <v>1</v>
      </c>
      <c r="O38" s="177" t="s">
        <v>1613</v>
      </c>
      <c r="P38" s="89">
        <v>24325.02</v>
      </c>
      <c r="Q38" s="94">
        <v>43038</v>
      </c>
      <c r="R38" s="90" t="s">
        <v>1614</v>
      </c>
      <c r="S38" s="90"/>
      <c r="T38" s="90"/>
      <c r="U38" s="90"/>
      <c r="V38" s="33" t="s">
        <v>931</v>
      </c>
      <c r="W38" s="33" t="s">
        <v>22</v>
      </c>
      <c r="X38" s="53" t="s">
        <v>949</v>
      </c>
    </row>
    <row r="39" spans="1:24" ht="22.5" x14ac:dyDescent="0.2">
      <c r="A39" s="2" t="s">
        <v>1615</v>
      </c>
      <c r="B39" s="81" t="s">
        <v>1616</v>
      </c>
      <c r="C39" s="4" t="s">
        <v>73</v>
      </c>
      <c r="D39" s="44" t="s">
        <v>73</v>
      </c>
      <c r="E39" s="3" t="s">
        <v>86</v>
      </c>
      <c r="F39" s="5" t="s">
        <v>86</v>
      </c>
      <c r="G39" s="5"/>
      <c r="H39" s="5"/>
      <c r="I39" s="5"/>
      <c r="J39" s="5"/>
      <c r="K39" s="4" t="s">
        <v>86</v>
      </c>
      <c r="L39" s="5" t="s">
        <v>86</v>
      </c>
      <c r="M39" s="31">
        <v>24947</v>
      </c>
      <c r="N39" s="32">
        <v>1</v>
      </c>
      <c r="O39" s="177" t="s">
        <v>1617</v>
      </c>
      <c r="P39" s="89">
        <v>24947</v>
      </c>
      <c r="Q39" s="94">
        <v>43038</v>
      </c>
      <c r="R39" s="90" t="s">
        <v>196</v>
      </c>
      <c r="S39" s="90"/>
      <c r="T39" s="90"/>
      <c r="U39" s="90"/>
      <c r="V39" s="33" t="s">
        <v>931</v>
      </c>
      <c r="W39" s="33" t="s">
        <v>22</v>
      </c>
      <c r="X39" s="53" t="s">
        <v>949</v>
      </c>
    </row>
    <row r="40" spans="1:24" ht="22.5" x14ac:dyDescent="0.2">
      <c r="A40" s="2" t="s">
        <v>1618</v>
      </c>
      <c r="B40" s="81" t="s">
        <v>1619</v>
      </c>
      <c r="C40" s="5" t="s">
        <v>73</v>
      </c>
      <c r="D40" s="44" t="s">
        <v>73</v>
      </c>
      <c r="E40" s="3" t="s">
        <v>86</v>
      </c>
      <c r="F40" s="5" t="s">
        <v>86</v>
      </c>
      <c r="G40" s="5"/>
      <c r="H40" s="5"/>
      <c r="I40" s="5"/>
      <c r="J40" s="5"/>
      <c r="K40" s="4" t="s">
        <v>86</v>
      </c>
      <c r="L40" s="5" t="s">
        <v>86</v>
      </c>
      <c r="M40" s="31">
        <v>256074</v>
      </c>
      <c r="N40" s="32">
        <v>1</v>
      </c>
      <c r="O40" s="177" t="s">
        <v>1620</v>
      </c>
      <c r="P40" s="89">
        <v>256074</v>
      </c>
      <c r="Q40" s="94">
        <v>43038</v>
      </c>
      <c r="R40" s="90" t="s">
        <v>823</v>
      </c>
      <c r="S40" s="90"/>
      <c r="T40" s="90"/>
      <c r="U40" s="90"/>
      <c r="V40" s="33" t="s">
        <v>931</v>
      </c>
      <c r="W40" s="33" t="s">
        <v>22</v>
      </c>
      <c r="X40" s="53" t="s">
        <v>322</v>
      </c>
    </row>
    <row r="41" spans="1:24" ht="22.5" x14ac:dyDescent="0.2">
      <c r="A41" s="2" t="s">
        <v>1621</v>
      </c>
      <c r="B41" s="81" t="s">
        <v>1622</v>
      </c>
      <c r="C41" s="5" t="s">
        <v>73</v>
      </c>
      <c r="D41" s="44" t="s">
        <v>73</v>
      </c>
      <c r="E41" s="3" t="s">
        <v>86</v>
      </c>
      <c r="F41" s="5" t="s">
        <v>86</v>
      </c>
      <c r="G41" s="5"/>
      <c r="H41" s="5"/>
      <c r="I41" s="5"/>
      <c r="J41" s="5"/>
      <c r="K41" s="4" t="s">
        <v>86</v>
      </c>
      <c r="L41" s="5" t="s">
        <v>86</v>
      </c>
      <c r="M41" s="31">
        <v>175176</v>
      </c>
      <c r="N41" s="32">
        <v>1</v>
      </c>
      <c r="O41" s="177" t="s">
        <v>1623</v>
      </c>
      <c r="P41" s="89">
        <v>175176</v>
      </c>
      <c r="Q41" s="94">
        <v>43052</v>
      </c>
      <c r="R41" s="90" t="s">
        <v>345</v>
      </c>
      <c r="S41" s="90"/>
      <c r="T41" s="90"/>
      <c r="U41" s="90"/>
      <c r="V41" s="33" t="s">
        <v>931</v>
      </c>
      <c r="W41" s="33" t="s">
        <v>22</v>
      </c>
      <c r="X41" s="53" t="s">
        <v>346</v>
      </c>
    </row>
    <row r="42" spans="1:24" x14ac:dyDescent="0.2">
      <c r="A42" s="2" t="s">
        <v>1624</v>
      </c>
      <c r="B42" s="81" t="s">
        <v>1625</v>
      </c>
      <c r="C42" s="5">
        <v>43049</v>
      </c>
      <c r="D42" s="179" t="s">
        <v>1626</v>
      </c>
      <c r="E42" s="5" t="s">
        <v>1627</v>
      </c>
      <c r="F42" s="49" t="s">
        <v>1628</v>
      </c>
      <c r="G42" s="49" t="s">
        <v>1629</v>
      </c>
      <c r="H42" s="5"/>
      <c r="I42" s="5"/>
      <c r="J42" s="5"/>
      <c r="K42" s="5">
        <v>43081</v>
      </c>
      <c r="L42" s="49" t="s">
        <v>1630</v>
      </c>
      <c r="M42" s="31">
        <f>322437+332415.5+310850+294877+404866+313798+470969+362708+335622</f>
        <v>3148542.5</v>
      </c>
      <c r="N42" s="32">
        <v>9</v>
      </c>
      <c r="O42" s="177" t="s">
        <v>1631</v>
      </c>
      <c r="P42" s="89">
        <v>310850</v>
      </c>
      <c r="Q42" s="94">
        <v>43122</v>
      </c>
      <c r="R42" s="90" t="s">
        <v>1131</v>
      </c>
      <c r="S42" s="90"/>
      <c r="T42" s="90"/>
      <c r="U42" s="90"/>
      <c r="V42" s="33" t="s">
        <v>926</v>
      </c>
      <c r="W42" s="33" t="s">
        <v>24</v>
      </c>
      <c r="X42" s="53"/>
    </row>
    <row r="43" spans="1:24" x14ac:dyDescent="0.2">
      <c r="A43" s="2" t="s">
        <v>1632</v>
      </c>
      <c r="B43" s="81" t="s">
        <v>1633</v>
      </c>
      <c r="C43" s="5" t="s">
        <v>73</v>
      </c>
      <c r="D43" s="44" t="s">
        <v>73</v>
      </c>
      <c r="E43" s="5" t="s">
        <v>86</v>
      </c>
      <c r="F43" s="5" t="s">
        <v>86</v>
      </c>
      <c r="G43" s="5"/>
      <c r="H43" s="5"/>
      <c r="I43" s="5"/>
      <c r="J43" s="5"/>
      <c r="K43" s="5" t="s">
        <v>86</v>
      </c>
      <c r="L43" s="5" t="s">
        <v>86</v>
      </c>
      <c r="M43" s="31">
        <v>55494.48</v>
      </c>
      <c r="N43" s="32">
        <v>1</v>
      </c>
      <c r="O43" s="177" t="s">
        <v>1634</v>
      </c>
      <c r="P43" s="89">
        <v>55494.48</v>
      </c>
      <c r="Q43" s="94">
        <v>43080</v>
      </c>
      <c r="R43" s="90" t="s">
        <v>1635</v>
      </c>
      <c r="S43" s="90"/>
      <c r="T43" s="90"/>
      <c r="U43" s="90"/>
      <c r="V43" s="33" t="s">
        <v>931</v>
      </c>
      <c r="W43" s="33" t="s">
        <v>22</v>
      </c>
      <c r="X43" s="53" t="s">
        <v>1636</v>
      </c>
    </row>
    <row r="44" spans="1:24" x14ac:dyDescent="0.2">
      <c r="A44" s="2" t="s">
        <v>1637</v>
      </c>
      <c r="B44" s="81" t="s">
        <v>1638</v>
      </c>
      <c r="C44" s="3" t="s">
        <v>73</v>
      </c>
      <c r="D44" s="44" t="s">
        <v>73</v>
      </c>
      <c r="E44" s="5" t="s">
        <v>1639</v>
      </c>
      <c r="F44" s="49" t="s">
        <v>1640</v>
      </c>
      <c r="G44" s="3"/>
      <c r="H44" s="3"/>
      <c r="I44" s="3"/>
      <c r="J44" s="3"/>
      <c r="K44" s="4">
        <v>43146</v>
      </c>
      <c r="L44" s="49" t="s">
        <v>1641</v>
      </c>
      <c r="M44" s="31">
        <f>100000*5</f>
        <v>500000</v>
      </c>
      <c r="N44" s="32">
        <v>5</v>
      </c>
      <c r="O44" s="94"/>
      <c r="P44" s="89"/>
      <c r="Q44" s="94"/>
      <c r="R44" s="90"/>
      <c r="S44" s="90"/>
      <c r="T44" s="90"/>
      <c r="U44" s="90"/>
      <c r="V44" s="33" t="s">
        <v>926</v>
      </c>
      <c r="W44" s="33" t="s">
        <v>23</v>
      </c>
      <c r="X44" s="53" t="s">
        <v>1642</v>
      </c>
    </row>
    <row r="45" spans="1:24" ht="22.5" x14ac:dyDescent="0.2">
      <c r="A45" s="2" t="s">
        <v>1643</v>
      </c>
      <c r="B45" s="81" t="s">
        <v>1644</v>
      </c>
      <c r="C45" s="3" t="s">
        <v>73</v>
      </c>
      <c r="D45" s="44" t="s">
        <v>73</v>
      </c>
      <c r="E45" s="5" t="s">
        <v>86</v>
      </c>
      <c r="F45" s="5" t="s">
        <v>86</v>
      </c>
      <c r="G45" s="5"/>
      <c r="H45" s="5"/>
      <c r="I45" s="5"/>
      <c r="J45" s="5"/>
      <c r="K45" s="5" t="s">
        <v>86</v>
      </c>
      <c r="L45" s="5" t="s">
        <v>86</v>
      </c>
      <c r="M45" s="31">
        <v>55929.29</v>
      </c>
      <c r="N45" s="32">
        <v>1</v>
      </c>
      <c r="O45" s="177" t="s">
        <v>1645</v>
      </c>
      <c r="P45" s="95">
        <v>55929.29</v>
      </c>
      <c r="Q45" s="94">
        <v>43080</v>
      </c>
      <c r="R45" s="90" t="s">
        <v>945</v>
      </c>
      <c r="S45" s="90"/>
      <c r="T45" s="90"/>
      <c r="U45" s="90"/>
      <c r="V45" s="33" t="s">
        <v>931</v>
      </c>
      <c r="W45" s="33" t="s">
        <v>22</v>
      </c>
      <c r="X45" s="53" t="s">
        <v>318</v>
      </c>
    </row>
    <row r="46" spans="1:24" x14ac:dyDescent="0.2">
      <c r="A46" s="2" t="s">
        <v>1646</v>
      </c>
      <c r="B46" s="81" t="s">
        <v>1647</v>
      </c>
      <c r="C46" s="5" t="s">
        <v>73</v>
      </c>
      <c r="D46" s="44" t="s">
        <v>73</v>
      </c>
      <c r="E46" s="5" t="s">
        <v>1648</v>
      </c>
      <c r="F46" s="49" t="s">
        <v>1649</v>
      </c>
      <c r="G46" s="5"/>
      <c r="H46" s="5"/>
      <c r="I46" s="5"/>
      <c r="J46" s="5"/>
      <c r="K46" s="5">
        <v>43104</v>
      </c>
      <c r="L46" s="180" t="s">
        <v>1650</v>
      </c>
      <c r="M46" s="31">
        <f>78790.53+73312.9+73157</f>
        <v>225260.43</v>
      </c>
      <c r="N46" s="32">
        <v>3</v>
      </c>
      <c r="O46" s="47" t="s">
        <v>1651</v>
      </c>
      <c r="P46" s="89">
        <v>73157</v>
      </c>
      <c r="Q46" s="4">
        <v>43122</v>
      </c>
      <c r="R46" s="90" t="s">
        <v>1652</v>
      </c>
      <c r="S46" s="90"/>
      <c r="T46" s="90"/>
      <c r="U46" s="90"/>
      <c r="V46" s="33" t="s">
        <v>926</v>
      </c>
      <c r="W46" s="33" t="s">
        <v>22</v>
      </c>
      <c r="X46" s="53"/>
    </row>
    <row r="47" spans="1:24" x14ac:dyDescent="0.2">
      <c r="A47" s="2" t="s">
        <v>1653</v>
      </c>
      <c r="B47" s="81" t="s">
        <v>1654</v>
      </c>
      <c r="C47" s="5" t="s">
        <v>73</v>
      </c>
      <c r="D47" s="44" t="s">
        <v>73</v>
      </c>
      <c r="E47" s="5" t="s">
        <v>1655</v>
      </c>
      <c r="F47" s="49" t="s">
        <v>1656</v>
      </c>
      <c r="G47" s="5"/>
      <c r="H47" s="5"/>
      <c r="I47" s="5"/>
      <c r="J47" s="5"/>
      <c r="K47" s="5">
        <v>43166</v>
      </c>
      <c r="L47" s="49" t="s">
        <v>1657</v>
      </c>
      <c r="M47" s="31">
        <f>100000*N47</f>
        <v>100000</v>
      </c>
      <c r="N47" s="32">
        <v>1</v>
      </c>
      <c r="O47" s="47" t="s">
        <v>1658</v>
      </c>
      <c r="P47" s="89">
        <v>100000</v>
      </c>
      <c r="Q47" s="4">
        <v>43185</v>
      </c>
      <c r="R47" s="90" t="s">
        <v>1659</v>
      </c>
      <c r="S47" s="90"/>
      <c r="T47" s="90"/>
      <c r="U47" s="90"/>
      <c r="V47" s="33" t="s">
        <v>926</v>
      </c>
      <c r="W47" s="33" t="s">
        <v>23</v>
      </c>
      <c r="X47" s="53"/>
    </row>
    <row r="48" spans="1:24" ht="22.5" x14ac:dyDescent="0.2">
      <c r="A48" s="2" t="s">
        <v>1660</v>
      </c>
      <c r="B48" s="81" t="s">
        <v>1661</v>
      </c>
      <c r="C48" s="5" t="s">
        <v>73</v>
      </c>
      <c r="D48" s="44" t="s">
        <v>73</v>
      </c>
      <c r="E48" s="5" t="s">
        <v>86</v>
      </c>
      <c r="F48" s="5" t="s">
        <v>86</v>
      </c>
      <c r="G48" s="3"/>
      <c r="H48" s="3"/>
      <c r="I48" s="3"/>
      <c r="J48" s="3"/>
      <c r="K48" s="5" t="s">
        <v>86</v>
      </c>
      <c r="L48" s="5" t="s">
        <v>86</v>
      </c>
      <c r="M48" s="31">
        <v>186756</v>
      </c>
      <c r="N48" s="32">
        <v>1</v>
      </c>
      <c r="O48" s="47" t="s">
        <v>1662</v>
      </c>
      <c r="P48" s="89">
        <v>186756</v>
      </c>
      <c r="Q48" s="4">
        <v>43080</v>
      </c>
      <c r="R48" s="91" t="s">
        <v>1663</v>
      </c>
      <c r="S48" s="91"/>
      <c r="T48" s="91"/>
      <c r="U48" s="91"/>
      <c r="V48" s="33" t="s">
        <v>931</v>
      </c>
      <c r="W48" s="33" t="s">
        <v>22</v>
      </c>
      <c r="X48" s="53" t="s">
        <v>1664</v>
      </c>
    </row>
    <row r="49" spans="1:24" ht="22.5" x14ac:dyDescent="0.2">
      <c r="A49" s="2" t="s">
        <v>1665</v>
      </c>
      <c r="B49" s="81" t="s">
        <v>1666</v>
      </c>
      <c r="C49" s="3" t="s">
        <v>73</v>
      </c>
      <c r="D49" s="2" t="s">
        <v>73</v>
      </c>
      <c r="E49" s="3" t="s">
        <v>86</v>
      </c>
      <c r="F49" s="5" t="s">
        <v>86</v>
      </c>
      <c r="G49" s="3"/>
      <c r="H49" s="3"/>
      <c r="I49" s="3"/>
      <c r="J49" s="3"/>
      <c r="K49" s="4" t="s">
        <v>86</v>
      </c>
      <c r="L49" s="5" t="s">
        <v>86</v>
      </c>
      <c r="M49" s="31">
        <v>129491.94</v>
      </c>
      <c r="N49" s="32">
        <v>1</v>
      </c>
      <c r="O49" s="47" t="s">
        <v>1667</v>
      </c>
      <c r="P49" s="89">
        <v>129491.94</v>
      </c>
      <c r="Q49" s="4">
        <v>43080</v>
      </c>
      <c r="R49" s="90" t="s">
        <v>383</v>
      </c>
      <c r="S49" s="90"/>
      <c r="T49" s="90"/>
      <c r="U49" s="90"/>
      <c r="V49" s="33" t="s">
        <v>931</v>
      </c>
      <c r="W49" s="33" t="s">
        <v>24</v>
      </c>
      <c r="X49" s="53" t="s">
        <v>1047</v>
      </c>
    </row>
    <row r="50" spans="1:24" x14ac:dyDescent="0.2">
      <c r="A50" s="2" t="s">
        <v>1668</v>
      </c>
      <c r="B50" s="81" t="s">
        <v>1669</v>
      </c>
      <c r="C50" s="3" t="s">
        <v>73</v>
      </c>
      <c r="D50" s="2" t="s">
        <v>73</v>
      </c>
      <c r="E50" s="3" t="s">
        <v>1670</v>
      </c>
      <c r="F50" s="49" t="s">
        <v>1671</v>
      </c>
      <c r="G50" s="4"/>
      <c r="H50" s="4"/>
      <c r="I50" s="4"/>
      <c r="J50" s="4"/>
      <c r="K50" s="4">
        <v>43132</v>
      </c>
      <c r="L50" s="49" t="s">
        <v>1672</v>
      </c>
      <c r="M50" s="31">
        <f>193920+168000+95997.96+177600+197160</f>
        <v>832677.96</v>
      </c>
      <c r="N50" s="32">
        <v>5</v>
      </c>
      <c r="O50" s="47" t="s">
        <v>1673</v>
      </c>
      <c r="P50" s="89">
        <v>200000</v>
      </c>
      <c r="Q50" s="4">
        <v>43157</v>
      </c>
      <c r="R50" s="90" t="s">
        <v>930</v>
      </c>
      <c r="S50" s="90"/>
      <c r="T50" s="90"/>
      <c r="U50" s="90"/>
      <c r="V50" s="33" t="s">
        <v>926</v>
      </c>
      <c r="W50" s="33" t="s">
        <v>23</v>
      </c>
      <c r="X50" s="53"/>
    </row>
    <row r="51" spans="1:24" ht="22.5" x14ac:dyDescent="0.2">
      <c r="A51" s="2" t="s">
        <v>1674</v>
      </c>
      <c r="B51" s="81" t="s">
        <v>1675</v>
      </c>
      <c r="C51" s="3" t="s">
        <v>73</v>
      </c>
      <c r="D51" s="2" t="s">
        <v>73</v>
      </c>
      <c r="E51" s="3" t="s">
        <v>86</v>
      </c>
      <c r="F51" s="5" t="s">
        <v>86</v>
      </c>
      <c r="G51" s="47"/>
      <c r="H51" s="4"/>
      <c r="I51" s="4"/>
      <c r="J51" s="4"/>
      <c r="K51" s="5" t="s">
        <v>86</v>
      </c>
      <c r="L51" s="5" t="s">
        <v>86</v>
      </c>
      <c r="M51" s="31">
        <v>100385</v>
      </c>
      <c r="N51" s="32">
        <v>1</v>
      </c>
      <c r="O51" s="47" t="s">
        <v>1676</v>
      </c>
      <c r="P51" s="89">
        <v>100385</v>
      </c>
      <c r="Q51" s="4">
        <v>43122</v>
      </c>
      <c r="R51" s="90" t="s">
        <v>1677</v>
      </c>
      <c r="S51" s="90"/>
      <c r="T51" s="90"/>
      <c r="U51" s="90"/>
      <c r="V51" s="33" t="s">
        <v>931</v>
      </c>
      <c r="W51" s="33" t="s">
        <v>24</v>
      </c>
      <c r="X51" s="53" t="s">
        <v>1678</v>
      </c>
    </row>
    <row r="52" spans="1:24" ht="22.5" x14ac:dyDescent="0.2">
      <c r="A52" s="2" t="s">
        <v>1679</v>
      </c>
      <c r="B52" s="81" t="s">
        <v>1680</v>
      </c>
      <c r="C52" s="3" t="s">
        <v>73</v>
      </c>
      <c r="D52" s="2" t="s">
        <v>73</v>
      </c>
      <c r="E52" s="3" t="s">
        <v>1681</v>
      </c>
      <c r="F52" s="49" t="s">
        <v>1682</v>
      </c>
      <c r="G52" s="47" t="s">
        <v>1683</v>
      </c>
      <c r="H52" s="4"/>
      <c r="I52" s="4"/>
      <c r="J52" s="4"/>
      <c r="K52" s="5">
        <v>43167</v>
      </c>
      <c r="L52" s="49" t="s">
        <v>1684</v>
      </c>
      <c r="M52" s="31">
        <f>400000*N52</f>
        <v>1600000</v>
      </c>
      <c r="N52" s="32">
        <v>4</v>
      </c>
      <c r="O52" s="47" t="s">
        <v>1685</v>
      </c>
      <c r="P52" s="89">
        <v>400000</v>
      </c>
      <c r="Q52" s="4">
        <v>43220</v>
      </c>
      <c r="R52" s="90" t="s">
        <v>1686</v>
      </c>
      <c r="S52" s="90" t="s">
        <v>1687</v>
      </c>
      <c r="T52" s="90" t="s">
        <v>1688</v>
      </c>
      <c r="U52" s="90" t="s">
        <v>1689</v>
      </c>
      <c r="V52" s="33" t="s">
        <v>926</v>
      </c>
      <c r="W52" s="33" t="s">
        <v>22</v>
      </c>
      <c r="X52" s="53"/>
    </row>
    <row r="53" spans="1:24" ht="22.5" x14ac:dyDescent="0.2">
      <c r="A53" s="2" t="s">
        <v>1690</v>
      </c>
      <c r="B53" s="81" t="s">
        <v>1691</v>
      </c>
      <c r="C53" s="3" t="s">
        <v>73</v>
      </c>
      <c r="D53" s="2" t="s">
        <v>73</v>
      </c>
      <c r="E53" s="3" t="s">
        <v>86</v>
      </c>
      <c r="F53" s="5" t="s">
        <v>86</v>
      </c>
      <c r="G53" s="3"/>
      <c r="H53" s="3"/>
      <c r="I53" s="3"/>
      <c r="J53" s="3"/>
      <c r="K53" s="5" t="s">
        <v>86</v>
      </c>
      <c r="L53" s="5" t="s">
        <v>86</v>
      </c>
      <c r="M53" s="31">
        <f>300000+200000</f>
        <v>500000</v>
      </c>
      <c r="N53" s="32">
        <v>1</v>
      </c>
      <c r="O53" s="47" t="s">
        <v>1692</v>
      </c>
      <c r="P53" s="89">
        <f>300000+200000</f>
        <v>500000</v>
      </c>
      <c r="Q53" s="4">
        <v>43143</v>
      </c>
      <c r="R53" s="90" t="s">
        <v>1693</v>
      </c>
      <c r="S53" s="90" t="s">
        <v>1694</v>
      </c>
      <c r="T53" s="90"/>
      <c r="U53" s="90"/>
      <c r="V53" s="33" t="s">
        <v>931</v>
      </c>
      <c r="W53" s="33" t="s">
        <v>23</v>
      </c>
      <c r="X53" s="53" t="s">
        <v>1695</v>
      </c>
    </row>
    <row r="54" spans="1:24" x14ac:dyDescent="0.2">
      <c r="A54" s="2" t="s">
        <v>1696</v>
      </c>
      <c r="B54" s="81" t="s">
        <v>1697</v>
      </c>
      <c r="C54" s="4">
        <v>43147</v>
      </c>
      <c r="D54" s="48" t="s">
        <v>1698</v>
      </c>
      <c r="E54" s="3" t="s">
        <v>1699</v>
      </c>
      <c r="F54" s="47" t="s">
        <v>1700</v>
      </c>
      <c r="G54" s="4"/>
      <c r="H54" s="4"/>
      <c r="I54" s="4"/>
      <c r="J54" s="4"/>
      <c r="K54" s="4">
        <v>43168</v>
      </c>
      <c r="L54" s="49" t="s">
        <v>1701</v>
      </c>
      <c r="M54" s="31">
        <f>1229166.08+795064.03+908149.18+948016.9+920261.8</f>
        <v>4800657.99</v>
      </c>
      <c r="N54" s="32">
        <v>5</v>
      </c>
      <c r="O54" s="47" t="s">
        <v>1702</v>
      </c>
      <c r="P54" s="89">
        <v>795064.03</v>
      </c>
      <c r="Q54" s="4">
        <v>43199</v>
      </c>
      <c r="R54" s="90" t="s">
        <v>1703</v>
      </c>
      <c r="S54" s="90"/>
      <c r="T54" s="90"/>
      <c r="U54" s="90"/>
      <c r="V54" s="33" t="s">
        <v>926</v>
      </c>
      <c r="W54" s="33" t="s">
        <v>24</v>
      </c>
      <c r="X54" s="53"/>
    </row>
    <row r="55" spans="1:24" ht="22.5" x14ac:dyDescent="0.2">
      <c r="A55" s="2" t="s">
        <v>1704</v>
      </c>
      <c r="B55" s="81" t="s">
        <v>1705</v>
      </c>
      <c r="C55" s="4" t="s">
        <v>73</v>
      </c>
      <c r="D55" s="2" t="s">
        <v>73</v>
      </c>
      <c r="E55" s="3" t="s">
        <v>86</v>
      </c>
      <c r="F55" s="4" t="s">
        <v>86</v>
      </c>
      <c r="G55" s="4"/>
      <c r="H55" s="4"/>
      <c r="I55" s="4"/>
      <c r="J55" s="4"/>
      <c r="K55" s="4" t="s">
        <v>86</v>
      </c>
      <c r="L55" s="5" t="s">
        <v>86</v>
      </c>
      <c r="M55" s="31">
        <f>50000+100000+100000+50000</f>
        <v>300000</v>
      </c>
      <c r="N55" s="32">
        <v>1</v>
      </c>
      <c r="O55" s="47" t="s">
        <v>1706</v>
      </c>
      <c r="P55" s="89">
        <f>50000+100000+100000+50000</f>
        <v>300000</v>
      </c>
      <c r="Q55" s="4">
        <v>43157</v>
      </c>
      <c r="R55" s="90" t="s">
        <v>161</v>
      </c>
      <c r="S55" s="90" t="s">
        <v>1707</v>
      </c>
      <c r="T55" s="90" t="s">
        <v>1708</v>
      </c>
      <c r="U55" s="90" t="s">
        <v>1709</v>
      </c>
      <c r="V55" s="33" t="s">
        <v>931</v>
      </c>
      <c r="W55" s="33" t="s">
        <v>22</v>
      </c>
      <c r="X55" s="53" t="s">
        <v>1710</v>
      </c>
    </row>
    <row r="56" spans="1:24" x14ac:dyDescent="0.2">
      <c r="A56" s="2" t="s">
        <v>1711</v>
      </c>
      <c r="B56" s="81" t="s">
        <v>1712</v>
      </c>
      <c r="C56" s="4" t="s">
        <v>73</v>
      </c>
      <c r="D56" s="2" t="s">
        <v>73</v>
      </c>
      <c r="E56" s="3" t="s">
        <v>1595</v>
      </c>
      <c r="F56" s="47" t="s">
        <v>1713</v>
      </c>
      <c r="G56" s="4"/>
      <c r="H56" s="4"/>
      <c r="I56" s="4"/>
      <c r="J56" s="4"/>
      <c r="K56" s="4">
        <v>43182</v>
      </c>
      <c r="L56" s="49" t="s">
        <v>1714</v>
      </c>
      <c r="M56" s="31">
        <f>90000*N56</f>
        <v>180000</v>
      </c>
      <c r="N56" s="32">
        <v>2</v>
      </c>
      <c r="O56" s="47" t="s">
        <v>1715</v>
      </c>
      <c r="P56" s="89">
        <v>90000</v>
      </c>
      <c r="Q56" s="4">
        <v>43199</v>
      </c>
      <c r="R56" s="90" t="s">
        <v>1716</v>
      </c>
      <c r="S56" s="90"/>
      <c r="T56" s="90"/>
      <c r="U56" s="90"/>
      <c r="V56" s="33" t="s">
        <v>926</v>
      </c>
      <c r="W56" s="33" t="s">
        <v>22</v>
      </c>
      <c r="X56" s="53"/>
    </row>
    <row r="57" spans="1:24" ht="22.5" x14ac:dyDescent="0.2">
      <c r="A57" s="2" t="s">
        <v>1717</v>
      </c>
      <c r="B57" s="81" t="s">
        <v>1718</v>
      </c>
      <c r="C57" s="4" t="s">
        <v>73</v>
      </c>
      <c r="D57" s="2" t="s">
        <v>73</v>
      </c>
      <c r="E57" s="3" t="s">
        <v>1719</v>
      </c>
      <c r="F57" s="47" t="s">
        <v>1720</v>
      </c>
      <c r="G57" s="4"/>
      <c r="H57" s="4"/>
      <c r="I57" s="4"/>
      <c r="J57" s="4"/>
      <c r="K57" s="4">
        <v>43186</v>
      </c>
      <c r="L57" s="49" t="s">
        <v>1721</v>
      </c>
      <c r="M57" s="31">
        <f>80000*N57</f>
        <v>400000</v>
      </c>
      <c r="N57" s="32">
        <v>5</v>
      </c>
      <c r="O57" s="47" t="s">
        <v>1722</v>
      </c>
      <c r="P57" s="89">
        <v>80000</v>
      </c>
      <c r="Q57" s="4">
        <v>43220</v>
      </c>
      <c r="R57" s="90" t="s">
        <v>1723</v>
      </c>
      <c r="S57" s="90" t="s">
        <v>1724</v>
      </c>
      <c r="T57" s="90"/>
      <c r="U57" s="90"/>
      <c r="V57" s="33" t="s">
        <v>926</v>
      </c>
      <c r="W57" s="33" t="s">
        <v>23</v>
      </c>
      <c r="X57" s="53" t="s">
        <v>1642</v>
      </c>
    </row>
    <row r="58" spans="1:24" ht="22.5" x14ac:dyDescent="0.2">
      <c r="A58" s="2" t="s">
        <v>1725</v>
      </c>
      <c r="B58" s="81" t="s">
        <v>1726</v>
      </c>
      <c r="C58" s="4" t="s">
        <v>73</v>
      </c>
      <c r="D58" s="2" t="s">
        <v>73</v>
      </c>
      <c r="E58" s="3" t="s">
        <v>86</v>
      </c>
      <c r="F58" s="3" t="s">
        <v>86</v>
      </c>
      <c r="G58" s="4"/>
      <c r="H58" s="4"/>
      <c r="I58" s="4"/>
      <c r="J58" s="4"/>
      <c r="K58" s="3" t="s">
        <v>86</v>
      </c>
      <c r="L58" s="3" t="s">
        <v>86</v>
      </c>
      <c r="M58" s="31">
        <v>319680.05</v>
      </c>
      <c r="N58" s="32">
        <v>1</v>
      </c>
      <c r="O58" s="47" t="s">
        <v>1727</v>
      </c>
      <c r="P58" s="31">
        <v>319680.05</v>
      </c>
      <c r="Q58" s="4">
        <v>43185</v>
      </c>
      <c r="R58" s="90" t="s">
        <v>326</v>
      </c>
      <c r="S58" s="90"/>
      <c r="T58" s="90"/>
      <c r="U58" s="90"/>
      <c r="V58" s="33" t="s">
        <v>931</v>
      </c>
      <c r="W58" s="33" t="s">
        <v>22</v>
      </c>
      <c r="X58" s="53" t="s">
        <v>1728</v>
      </c>
    </row>
    <row r="59" spans="1:24" ht="22.5" x14ac:dyDescent="0.2">
      <c r="A59" s="2" t="s">
        <v>1729</v>
      </c>
      <c r="B59" s="81" t="s">
        <v>1619</v>
      </c>
      <c r="C59" s="96" t="s">
        <v>73</v>
      </c>
      <c r="D59" s="2" t="s">
        <v>73</v>
      </c>
      <c r="E59" s="3" t="s">
        <v>86</v>
      </c>
      <c r="F59" s="3" t="s">
        <v>86</v>
      </c>
      <c r="G59" s="50"/>
      <c r="H59" s="3"/>
      <c r="I59" s="3"/>
      <c r="J59" s="3"/>
      <c r="K59" s="4" t="s">
        <v>86</v>
      </c>
      <c r="L59" s="5" t="s">
        <v>86</v>
      </c>
      <c r="M59" s="31">
        <v>269380</v>
      </c>
      <c r="N59" s="32">
        <v>1</v>
      </c>
      <c r="O59" s="47" t="s">
        <v>1730</v>
      </c>
      <c r="P59" s="31">
        <v>269380</v>
      </c>
      <c r="Q59" s="4">
        <v>43185</v>
      </c>
      <c r="R59" s="90" t="s">
        <v>823</v>
      </c>
      <c r="S59" s="90"/>
      <c r="T59" s="90"/>
      <c r="U59" s="90"/>
      <c r="V59" s="33" t="s">
        <v>931</v>
      </c>
      <c r="W59" s="33" t="s">
        <v>22</v>
      </c>
      <c r="X59" s="53" t="s">
        <v>322</v>
      </c>
    </row>
    <row r="60" spans="1:24" ht="22.5" x14ac:dyDescent="0.2">
      <c r="A60" s="2" t="s">
        <v>1731</v>
      </c>
      <c r="B60" s="81" t="s">
        <v>1732</v>
      </c>
      <c r="C60" s="4">
        <v>43189</v>
      </c>
      <c r="D60" s="48" t="s">
        <v>1733</v>
      </c>
      <c r="E60" s="3" t="s">
        <v>1734</v>
      </c>
      <c r="F60" s="47" t="s">
        <v>1735</v>
      </c>
      <c r="G60" s="4"/>
      <c r="H60" s="4"/>
      <c r="I60" s="4"/>
      <c r="J60" s="4"/>
      <c r="K60" s="4">
        <v>43209</v>
      </c>
      <c r="L60" s="49" t="s">
        <v>1736</v>
      </c>
      <c r="M60" s="31">
        <f>989990+1259550+811235+1198900+1087320</f>
        <v>5346995</v>
      </c>
      <c r="N60" s="32">
        <v>5</v>
      </c>
      <c r="O60" s="47" t="s">
        <v>1737</v>
      </c>
      <c r="P60" s="89">
        <v>1000000</v>
      </c>
      <c r="Q60" s="4">
        <v>43234</v>
      </c>
      <c r="R60" s="90" t="s">
        <v>1515</v>
      </c>
      <c r="S60" s="90" t="s">
        <v>421</v>
      </c>
      <c r="T60" s="90"/>
      <c r="U60" s="90"/>
      <c r="V60" s="33" t="s">
        <v>926</v>
      </c>
      <c r="W60" s="33" t="s">
        <v>24</v>
      </c>
      <c r="X60" s="53"/>
    </row>
    <row r="61" spans="1:24" x14ac:dyDescent="0.2">
      <c r="A61" s="2" t="s">
        <v>1738</v>
      </c>
      <c r="B61" s="81" t="s">
        <v>1739</v>
      </c>
      <c r="C61" s="4" t="s">
        <v>73</v>
      </c>
      <c r="D61" s="2" t="s">
        <v>73</v>
      </c>
      <c r="E61" s="3" t="s">
        <v>86</v>
      </c>
      <c r="F61" s="4" t="s">
        <v>86</v>
      </c>
      <c r="G61" s="4"/>
      <c r="H61" s="4"/>
      <c r="I61" s="4"/>
      <c r="J61" s="4"/>
      <c r="K61" s="4" t="s">
        <v>86</v>
      </c>
      <c r="L61" s="5" t="s">
        <v>86</v>
      </c>
      <c r="M61" s="31">
        <v>250000</v>
      </c>
      <c r="N61" s="32">
        <v>1</v>
      </c>
      <c r="O61" s="47" t="s">
        <v>1740</v>
      </c>
      <c r="P61" s="89">
        <v>250000</v>
      </c>
      <c r="Q61" s="4">
        <v>43199</v>
      </c>
      <c r="R61" s="90" t="s">
        <v>1741</v>
      </c>
      <c r="S61" s="90"/>
      <c r="T61" s="90"/>
      <c r="U61" s="90"/>
      <c r="V61" s="33" t="s">
        <v>931</v>
      </c>
      <c r="W61" s="33" t="s">
        <v>22</v>
      </c>
      <c r="X61" s="53" t="s">
        <v>1742</v>
      </c>
    </row>
    <row r="62" spans="1:24" x14ac:dyDescent="0.2">
      <c r="A62" s="2" t="s">
        <v>1743</v>
      </c>
      <c r="B62" s="81" t="s">
        <v>1165</v>
      </c>
      <c r="C62" s="4" t="s">
        <v>73</v>
      </c>
      <c r="D62" s="2" t="s">
        <v>73</v>
      </c>
      <c r="E62" s="3" t="s">
        <v>86</v>
      </c>
      <c r="F62" s="4" t="s">
        <v>86</v>
      </c>
      <c r="G62" s="47"/>
      <c r="H62" s="47"/>
      <c r="I62" s="4"/>
      <c r="J62" s="4"/>
      <c r="K62" s="4" t="s">
        <v>86</v>
      </c>
      <c r="L62" s="5" t="s">
        <v>86</v>
      </c>
      <c r="M62" s="31">
        <v>424483.66</v>
      </c>
      <c r="N62" s="32">
        <v>1</v>
      </c>
      <c r="O62" s="47" t="s">
        <v>1744</v>
      </c>
      <c r="P62" s="89">
        <v>424483.66</v>
      </c>
      <c r="Q62" s="4">
        <v>43199</v>
      </c>
      <c r="R62" s="90" t="s">
        <v>1745</v>
      </c>
      <c r="S62" s="90"/>
      <c r="T62" s="90"/>
      <c r="U62" s="90"/>
      <c r="V62" s="33" t="s">
        <v>931</v>
      </c>
      <c r="W62" s="33" t="s">
        <v>22</v>
      </c>
      <c r="X62" s="53" t="s">
        <v>454</v>
      </c>
    </row>
    <row r="63" spans="1:24" x14ac:dyDescent="0.2">
      <c r="A63" s="2" t="s">
        <v>1746</v>
      </c>
      <c r="B63" s="81" t="s">
        <v>1747</v>
      </c>
      <c r="C63" s="96">
        <v>43214</v>
      </c>
      <c r="D63" s="48" t="s">
        <v>1748</v>
      </c>
      <c r="E63" s="3" t="s">
        <v>1749</v>
      </c>
      <c r="F63" s="50" t="s">
        <v>1750</v>
      </c>
      <c r="G63" s="3"/>
      <c r="H63" s="3"/>
      <c r="I63" s="3"/>
      <c r="J63" s="3"/>
      <c r="K63" s="4">
        <v>43244</v>
      </c>
      <c r="L63" s="49" t="s">
        <v>1751</v>
      </c>
      <c r="M63" s="31">
        <f>574595.35+463126.95+497231.83+670418.45+567176.26+450127.95+604425.45+659364.45+494844.52+507821.45+541726.45</f>
        <v>6030859.1100000013</v>
      </c>
      <c r="N63" s="32">
        <v>11</v>
      </c>
      <c r="O63" s="49" t="s">
        <v>1752</v>
      </c>
      <c r="P63" s="89">
        <v>450127.95</v>
      </c>
      <c r="Q63" s="94">
        <v>43262</v>
      </c>
      <c r="R63" s="90" t="s">
        <v>1753</v>
      </c>
      <c r="S63" s="90"/>
      <c r="T63" s="90"/>
      <c r="U63" s="90"/>
      <c r="V63" s="33" t="s">
        <v>926</v>
      </c>
      <c r="W63" s="33" t="s">
        <v>24</v>
      </c>
      <c r="X63" s="53"/>
    </row>
    <row r="64" spans="1:24" ht="22.5" x14ac:dyDescent="0.2">
      <c r="A64" s="2" t="s">
        <v>1754</v>
      </c>
      <c r="B64" s="81" t="s">
        <v>1755</v>
      </c>
      <c r="C64" s="4">
        <v>43199</v>
      </c>
      <c r="D64" s="48" t="s">
        <v>1756</v>
      </c>
      <c r="E64" s="3" t="s">
        <v>1757</v>
      </c>
      <c r="F64" s="47" t="s">
        <v>1758</v>
      </c>
      <c r="G64" s="3"/>
      <c r="H64" s="3"/>
      <c r="I64" s="3"/>
      <c r="J64" s="3"/>
      <c r="K64" s="4">
        <v>43221</v>
      </c>
      <c r="L64" s="49" t="s">
        <v>1759</v>
      </c>
      <c r="M64" s="31">
        <f>621872+649497.43+801011.25+729539+2020060.4+685643.45+583306.5</f>
        <v>6090930.0300000003</v>
      </c>
      <c r="N64" s="32">
        <v>7</v>
      </c>
      <c r="O64" s="47" t="s">
        <v>1760</v>
      </c>
      <c r="P64" s="89">
        <v>583306.5</v>
      </c>
      <c r="Q64" s="4">
        <v>43234</v>
      </c>
      <c r="R64" s="90" t="s">
        <v>1761</v>
      </c>
      <c r="S64" s="90"/>
      <c r="T64" s="90"/>
      <c r="U64" s="90"/>
      <c r="V64" s="33" t="s">
        <v>926</v>
      </c>
      <c r="W64" s="33" t="s">
        <v>24</v>
      </c>
      <c r="X64" s="53" t="s">
        <v>1762</v>
      </c>
    </row>
    <row r="65" spans="1:24" ht="22.5" x14ac:dyDescent="0.2">
      <c r="A65" s="2" t="s">
        <v>1763</v>
      </c>
      <c r="B65" s="81" t="s">
        <v>1764</v>
      </c>
      <c r="C65" s="3" t="s">
        <v>73</v>
      </c>
      <c r="D65" s="2" t="s">
        <v>73</v>
      </c>
      <c r="E65" s="3" t="s">
        <v>1765</v>
      </c>
      <c r="F65" s="50" t="s">
        <v>1766</v>
      </c>
      <c r="G65" s="50" t="s">
        <v>1767</v>
      </c>
      <c r="H65" s="50" t="s">
        <v>1768</v>
      </c>
      <c r="I65" s="3"/>
      <c r="J65" s="3"/>
      <c r="K65" s="4">
        <v>43333</v>
      </c>
      <c r="L65" s="49" t="s">
        <v>1769</v>
      </c>
      <c r="M65" s="31">
        <f>432566+433470+462692+526866</f>
        <v>1855594</v>
      </c>
      <c r="N65" s="32">
        <v>4</v>
      </c>
      <c r="O65" s="47" t="s">
        <v>1770</v>
      </c>
      <c r="P65" s="89">
        <v>433470</v>
      </c>
      <c r="Q65" s="4">
        <v>43360</v>
      </c>
      <c r="R65" s="90" t="s">
        <v>1771</v>
      </c>
      <c r="S65" s="90"/>
      <c r="T65" s="90"/>
      <c r="U65" s="90"/>
      <c r="V65" s="33" t="s">
        <v>926</v>
      </c>
      <c r="W65" s="33" t="s">
        <v>23</v>
      </c>
      <c r="X65" s="53"/>
    </row>
    <row r="66" spans="1:24" ht="22.5" x14ac:dyDescent="0.2">
      <c r="A66" s="2" t="s">
        <v>1772</v>
      </c>
      <c r="B66" s="81" t="s">
        <v>1773</v>
      </c>
      <c r="C66" s="3" t="s">
        <v>73</v>
      </c>
      <c r="D66" s="2" t="s">
        <v>73</v>
      </c>
      <c r="E66" s="3" t="s">
        <v>86</v>
      </c>
      <c r="F66" s="3" t="s">
        <v>86</v>
      </c>
      <c r="G66" s="5"/>
      <c r="H66" s="5"/>
      <c r="I66" s="5"/>
      <c r="J66" s="5"/>
      <c r="K66" s="4" t="s">
        <v>86</v>
      </c>
      <c r="L66" s="5" t="s">
        <v>86</v>
      </c>
      <c r="M66" s="31">
        <v>250000</v>
      </c>
      <c r="N66" s="32">
        <v>1</v>
      </c>
      <c r="O66" s="47" t="s">
        <v>1774</v>
      </c>
      <c r="P66" s="89">
        <v>250000</v>
      </c>
      <c r="Q66" s="4">
        <v>43220</v>
      </c>
      <c r="R66" s="90" t="s">
        <v>1775</v>
      </c>
      <c r="S66" s="90"/>
      <c r="T66" s="90"/>
      <c r="U66" s="90"/>
      <c r="V66" s="33" t="s">
        <v>931</v>
      </c>
      <c r="W66" s="33" t="s">
        <v>24</v>
      </c>
      <c r="X66" s="53" t="s">
        <v>1776</v>
      </c>
    </row>
    <row r="67" spans="1:24" ht="22.5" x14ac:dyDescent="0.2">
      <c r="A67" s="2" t="s">
        <v>1777</v>
      </c>
      <c r="B67" s="81" t="s">
        <v>1778</v>
      </c>
      <c r="C67" s="5" t="s">
        <v>73</v>
      </c>
      <c r="D67" s="44" t="s">
        <v>73</v>
      </c>
      <c r="E67" s="3" t="s">
        <v>86</v>
      </c>
      <c r="F67" s="3" t="s">
        <v>86</v>
      </c>
      <c r="G67" s="49"/>
      <c r="H67" s="5"/>
      <c r="I67" s="5"/>
      <c r="J67" s="5"/>
      <c r="K67" s="4" t="s">
        <v>86</v>
      </c>
      <c r="L67" s="5" t="s">
        <v>86</v>
      </c>
      <c r="M67" s="31">
        <v>725000</v>
      </c>
      <c r="N67" s="32">
        <v>1</v>
      </c>
      <c r="O67" s="47" t="s">
        <v>1779</v>
      </c>
      <c r="P67" s="89">
        <v>725000</v>
      </c>
      <c r="Q67" s="4">
        <v>43220</v>
      </c>
      <c r="R67" s="90" t="s">
        <v>1780</v>
      </c>
      <c r="S67" s="90"/>
      <c r="T67" s="90"/>
      <c r="U67" s="90"/>
      <c r="V67" s="33" t="s">
        <v>931</v>
      </c>
      <c r="W67" s="33" t="s">
        <v>24</v>
      </c>
      <c r="X67" s="53" t="s">
        <v>1776</v>
      </c>
    </row>
    <row r="68" spans="1:24" x14ac:dyDescent="0.2">
      <c r="A68" s="2" t="s">
        <v>1781</v>
      </c>
      <c r="B68" s="81" t="s">
        <v>1782</v>
      </c>
      <c r="C68" s="5" t="s">
        <v>73</v>
      </c>
      <c r="D68" s="44" t="s">
        <v>73</v>
      </c>
      <c r="E68" s="3" t="s">
        <v>86</v>
      </c>
      <c r="F68" s="3" t="s">
        <v>86</v>
      </c>
      <c r="G68" s="49"/>
      <c r="H68" s="5"/>
      <c r="I68" s="5"/>
      <c r="J68" s="5"/>
      <c r="K68" s="4" t="s">
        <v>86</v>
      </c>
      <c r="L68" s="5" t="s">
        <v>86</v>
      </c>
      <c r="M68" s="31">
        <v>150000</v>
      </c>
      <c r="N68" s="32">
        <v>1</v>
      </c>
      <c r="O68" s="47" t="s">
        <v>1783</v>
      </c>
      <c r="P68" s="89">
        <v>150000</v>
      </c>
      <c r="Q68" s="4">
        <v>43220</v>
      </c>
      <c r="R68" s="90" t="s">
        <v>1784</v>
      </c>
      <c r="S68" s="90"/>
      <c r="T68" s="90"/>
      <c r="U68" s="90"/>
      <c r="V68" s="33" t="s">
        <v>931</v>
      </c>
      <c r="W68" s="33" t="s">
        <v>22</v>
      </c>
      <c r="X68" s="53" t="s">
        <v>1785</v>
      </c>
    </row>
    <row r="69" spans="1:24" ht="22.5" x14ac:dyDescent="0.2">
      <c r="A69" s="2" t="s">
        <v>1786</v>
      </c>
      <c r="B69" s="81" t="s">
        <v>1787</v>
      </c>
      <c r="C69" s="5" t="s">
        <v>73</v>
      </c>
      <c r="D69" s="44" t="s">
        <v>73</v>
      </c>
      <c r="E69" s="3" t="s">
        <v>86</v>
      </c>
      <c r="F69" s="3" t="s">
        <v>86</v>
      </c>
      <c r="G69" s="5"/>
      <c r="H69" s="5"/>
      <c r="I69" s="5"/>
      <c r="J69" s="5"/>
      <c r="K69" s="4" t="s">
        <v>86</v>
      </c>
      <c r="L69" s="5" t="s">
        <v>86</v>
      </c>
      <c r="M69" s="31">
        <v>445527.37</v>
      </c>
      <c r="N69" s="32">
        <v>1</v>
      </c>
      <c r="O69" s="47" t="s">
        <v>1788</v>
      </c>
      <c r="P69" s="89">
        <v>445527.37</v>
      </c>
      <c r="Q69" s="4">
        <v>43220</v>
      </c>
      <c r="R69" s="90" t="s">
        <v>326</v>
      </c>
      <c r="S69" s="90"/>
      <c r="T69" s="90"/>
      <c r="U69" s="90"/>
      <c r="V69" s="33" t="s">
        <v>931</v>
      </c>
      <c r="W69" s="33" t="s">
        <v>22</v>
      </c>
      <c r="X69" s="53" t="s">
        <v>1789</v>
      </c>
    </row>
    <row r="70" spans="1:24" ht="22.5" x14ac:dyDescent="0.2">
      <c r="A70" s="2" t="s">
        <v>1790</v>
      </c>
      <c r="B70" s="81" t="s">
        <v>1791</v>
      </c>
      <c r="C70" s="5" t="s">
        <v>73</v>
      </c>
      <c r="D70" s="44" t="s">
        <v>73</v>
      </c>
      <c r="E70" s="3" t="s">
        <v>86</v>
      </c>
      <c r="F70" s="3" t="s">
        <v>86</v>
      </c>
      <c r="G70" s="4"/>
      <c r="H70" s="4"/>
      <c r="I70" s="4"/>
      <c r="J70" s="4"/>
      <c r="K70" s="4" t="s">
        <v>86</v>
      </c>
      <c r="L70" s="5" t="s">
        <v>86</v>
      </c>
      <c r="M70" s="31">
        <v>950000</v>
      </c>
      <c r="N70" s="32">
        <v>1</v>
      </c>
      <c r="O70" s="47" t="s">
        <v>1792</v>
      </c>
      <c r="P70" s="89">
        <v>950000</v>
      </c>
      <c r="Q70" s="4">
        <v>43220</v>
      </c>
      <c r="R70" s="90" t="s">
        <v>1793</v>
      </c>
      <c r="S70" s="90" t="s">
        <v>1794</v>
      </c>
      <c r="T70" s="90"/>
      <c r="U70" s="90"/>
      <c r="V70" s="33" t="s">
        <v>931</v>
      </c>
      <c r="W70" s="33" t="s">
        <v>22</v>
      </c>
      <c r="X70" s="53" t="s">
        <v>1795</v>
      </c>
    </row>
    <row r="71" spans="1:24" ht="22.5" x14ac:dyDescent="0.2">
      <c r="A71" s="2" t="s">
        <v>1796</v>
      </c>
      <c r="B71" s="81" t="s">
        <v>1797</v>
      </c>
      <c r="C71" s="4" t="s">
        <v>73</v>
      </c>
      <c r="D71" s="2" t="s">
        <v>73</v>
      </c>
      <c r="E71" s="3" t="s">
        <v>86</v>
      </c>
      <c r="F71" s="3" t="s">
        <v>86</v>
      </c>
      <c r="G71" s="5"/>
      <c r="H71" s="5"/>
      <c r="I71" s="5"/>
      <c r="J71" s="5"/>
      <c r="K71" s="4" t="s">
        <v>86</v>
      </c>
      <c r="L71" s="5" t="s">
        <v>86</v>
      </c>
      <c r="M71" s="31">
        <v>274951.2</v>
      </c>
      <c r="N71" s="32">
        <v>1</v>
      </c>
      <c r="O71" s="47" t="s">
        <v>1798</v>
      </c>
      <c r="P71" s="89">
        <v>274951.2</v>
      </c>
      <c r="Q71" s="4">
        <v>43220</v>
      </c>
      <c r="R71" s="90" t="s">
        <v>1799</v>
      </c>
      <c r="S71" s="90"/>
      <c r="T71" s="90"/>
      <c r="U71" s="90"/>
      <c r="V71" s="33" t="s">
        <v>931</v>
      </c>
      <c r="W71" s="33" t="s">
        <v>23</v>
      </c>
      <c r="X71" s="53" t="s">
        <v>1084</v>
      </c>
    </row>
    <row r="72" spans="1:24" x14ac:dyDescent="0.2">
      <c r="A72" s="2" t="s">
        <v>1800</v>
      </c>
      <c r="B72" s="81" t="s">
        <v>1801</v>
      </c>
      <c r="C72" s="5">
        <v>43229</v>
      </c>
      <c r="D72" s="179" t="s">
        <v>1802</v>
      </c>
      <c r="E72" s="3" t="s">
        <v>1803</v>
      </c>
      <c r="F72" s="49" t="s">
        <v>1804</v>
      </c>
      <c r="G72" s="5"/>
      <c r="H72" s="5"/>
      <c r="I72" s="5"/>
      <c r="J72" s="5"/>
      <c r="K72" s="4">
        <v>43249</v>
      </c>
      <c r="L72" s="49" t="s">
        <v>1805</v>
      </c>
      <c r="M72" s="31">
        <v>4325957</v>
      </c>
      <c r="N72" s="32">
        <v>3</v>
      </c>
      <c r="O72" s="47" t="s">
        <v>1806</v>
      </c>
      <c r="P72" s="89">
        <v>1234915</v>
      </c>
      <c r="Q72" s="4">
        <v>43304</v>
      </c>
      <c r="R72" s="90" t="s">
        <v>1807</v>
      </c>
      <c r="S72" s="90"/>
      <c r="T72" s="90"/>
      <c r="U72" s="90"/>
      <c r="V72" s="33" t="s">
        <v>926</v>
      </c>
      <c r="W72" s="33" t="s">
        <v>24</v>
      </c>
      <c r="X72" s="53" t="s">
        <v>1236</v>
      </c>
    </row>
    <row r="73" spans="1:24" ht="22.5" x14ac:dyDescent="0.2">
      <c r="A73" s="2" t="s">
        <v>1808</v>
      </c>
      <c r="B73" s="81" t="s">
        <v>1809</v>
      </c>
      <c r="C73" s="5" t="s">
        <v>73</v>
      </c>
      <c r="D73" s="44" t="s">
        <v>73</v>
      </c>
      <c r="E73" s="3" t="s">
        <v>86</v>
      </c>
      <c r="F73" s="5" t="s">
        <v>86</v>
      </c>
      <c r="G73" s="5"/>
      <c r="H73" s="5"/>
      <c r="I73" s="5"/>
      <c r="J73" s="5"/>
      <c r="K73" s="4" t="s">
        <v>86</v>
      </c>
      <c r="L73" s="5" t="s">
        <v>86</v>
      </c>
      <c r="M73" s="31">
        <v>60000</v>
      </c>
      <c r="N73" s="32">
        <v>1</v>
      </c>
      <c r="O73" s="47" t="s">
        <v>1810</v>
      </c>
      <c r="P73" s="89">
        <v>60000</v>
      </c>
      <c r="Q73" s="4">
        <v>43234</v>
      </c>
      <c r="R73" s="90" t="s">
        <v>148</v>
      </c>
      <c r="S73" s="90"/>
      <c r="T73" s="90"/>
      <c r="U73" s="90"/>
      <c r="V73" s="33" t="s">
        <v>931</v>
      </c>
      <c r="W73" s="33" t="s">
        <v>22</v>
      </c>
      <c r="X73" s="53" t="s">
        <v>318</v>
      </c>
    </row>
    <row r="74" spans="1:24" x14ac:dyDescent="0.2">
      <c r="A74" s="2" t="s">
        <v>1811</v>
      </c>
      <c r="B74" s="81" t="s">
        <v>1812</v>
      </c>
      <c r="C74" s="5" t="s">
        <v>73</v>
      </c>
      <c r="D74" s="44" t="s">
        <v>73</v>
      </c>
      <c r="E74" s="3" t="s">
        <v>86</v>
      </c>
      <c r="F74" s="5" t="s">
        <v>86</v>
      </c>
      <c r="G74" s="5"/>
      <c r="H74" s="5"/>
      <c r="I74" s="5"/>
      <c r="J74" s="5"/>
      <c r="K74" s="4" t="s">
        <v>86</v>
      </c>
      <c r="L74" s="5" t="s">
        <v>86</v>
      </c>
      <c r="M74" s="31">
        <v>55371.47</v>
      </c>
      <c r="N74" s="32">
        <v>1</v>
      </c>
      <c r="O74" s="47" t="s">
        <v>1813</v>
      </c>
      <c r="P74" s="89">
        <v>55371.47</v>
      </c>
      <c r="Q74" s="4">
        <v>43234</v>
      </c>
      <c r="R74" s="90" t="s">
        <v>148</v>
      </c>
      <c r="S74" s="90"/>
      <c r="T74" s="90"/>
      <c r="U74" s="90"/>
      <c r="V74" s="33" t="s">
        <v>931</v>
      </c>
      <c r="W74" s="33" t="s">
        <v>22</v>
      </c>
      <c r="X74" s="53" t="s">
        <v>318</v>
      </c>
    </row>
    <row r="75" spans="1:24" x14ac:dyDescent="0.2">
      <c r="A75" s="2" t="s">
        <v>1814</v>
      </c>
      <c r="B75" s="81" t="s">
        <v>1815</v>
      </c>
      <c r="C75" s="5">
        <v>43334</v>
      </c>
      <c r="D75" s="179" t="s">
        <v>1816</v>
      </c>
      <c r="E75" s="3" t="s">
        <v>1817</v>
      </c>
      <c r="F75" s="49" t="s">
        <v>1818</v>
      </c>
      <c r="G75" s="5"/>
      <c r="H75" s="5"/>
      <c r="I75" s="5"/>
      <c r="J75" s="5"/>
      <c r="K75" s="4">
        <v>43361</v>
      </c>
      <c r="L75" s="49" t="s">
        <v>1819</v>
      </c>
      <c r="M75" s="31">
        <f>814755+919480.2+874966.87+740089</f>
        <v>3349291.07</v>
      </c>
      <c r="N75" s="32">
        <v>4</v>
      </c>
      <c r="O75" s="47" t="s">
        <v>1820</v>
      </c>
      <c r="P75" s="89">
        <v>740089</v>
      </c>
      <c r="Q75" s="4">
        <v>43381</v>
      </c>
      <c r="R75" s="90" t="s">
        <v>1821</v>
      </c>
      <c r="S75" s="90"/>
      <c r="T75" s="90"/>
      <c r="U75" s="90"/>
      <c r="V75" s="33" t="s">
        <v>926</v>
      </c>
      <c r="W75" s="33" t="s">
        <v>24</v>
      </c>
      <c r="X75" s="53"/>
    </row>
    <row r="76" spans="1:24" x14ac:dyDescent="0.2">
      <c r="A76" s="2" t="s">
        <v>1822</v>
      </c>
      <c r="B76" s="81" t="s">
        <v>1823</v>
      </c>
      <c r="C76" s="4">
        <v>43244</v>
      </c>
      <c r="D76" s="48" t="s">
        <v>1824</v>
      </c>
      <c r="E76" s="3" t="s">
        <v>1825</v>
      </c>
      <c r="F76" s="47" t="s">
        <v>1826</v>
      </c>
      <c r="G76" s="47" t="s">
        <v>1827</v>
      </c>
      <c r="H76" s="4"/>
      <c r="I76" s="4"/>
      <c r="J76" s="4"/>
      <c r="K76" s="4">
        <v>43272</v>
      </c>
      <c r="L76" s="49" t="s">
        <v>1828</v>
      </c>
      <c r="M76" s="31">
        <f>872756.97+796950.45+780062+713226.67+820326.7+712028+943408.5+649996+814074.5+856309+889175</f>
        <v>8848313.7899999991</v>
      </c>
      <c r="N76" s="32">
        <v>11</v>
      </c>
      <c r="O76" s="47" t="s">
        <v>1829</v>
      </c>
      <c r="P76" s="89">
        <v>712028</v>
      </c>
      <c r="Q76" s="4">
        <v>43290</v>
      </c>
      <c r="R76" s="90" t="s">
        <v>1830</v>
      </c>
      <c r="S76" s="90"/>
      <c r="T76" s="90"/>
      <c r="U76" s="90"/>
      <c r="V76" s="33" t="s">
        <v>926</v>
      </c>
      <c r="W76" s="33" t="s">
        <v>24</v>
      </c>
      <c r="X76" s="53"/>
    </row>
    <row r="77" spans="1:24" x14ac:dyDescent="0.2">
      <c r="A77" s="2" t="s">
        <v>1831</v>
      </c>
      <c r="B77" s="81" t="s">
        <v>1832</v>
      </c>
      <c r="C77" s="4">
        <v>43244</v>
      </c>
      <c r="D77" s="48" t="s">
        <v>1833</v>
      </c>
      <c r="E77" s="3" t="s">
        <v>1825</v>
      </c>
      <c r="F77" s="47" t="s">
        <v>1834</v>
      </c>
      <c r="G77" s="4"/>
      <c r="H77" s="4"/>
      <c r="I77" s="4"/>
      <c r="J77" s="4"/>
      <c r="K77" s="4">
        <v>43272</v>
      </c>
      <c r="L77" s="49" t="s">
        <v>1835</v>
      </c>
      <c r="M77" s="31">
        <f>796008+998547.6+877780.48+751108+958687.5+833026.35+944316+939546+869897.95</f>
        <v>7968917.8799999999</v>
      </c>
      <c r="N77" s="32">
        <v>9</v>
      </c>
      <c r="O77" s="47" t="s">
        <v>1836</v>
      </c>
      <c r="P77" s="89">
        <v>751900</v>
      </c>
      <c r="Q77" s="4">
        <v>43290</v>
      </c>
      <c r="R77" s="90" t="s">
        <v>1830</v>
      </c>
      <c r="S77" s="90"/>
      <c r="T77" s="90"/>
      <c r="U77" s="90"/>
      <c r="V77" s="33" t="s">
        <v>926</v>
      </c>
      <c r="W77" s="33" t="s">
        <v>24</v>
      </c>
      <c r="X77" s="53"/>
    </row>
    <row r="78" spans="1:24" ht="22.5" x14ac:dyDescent="0.2">
      <c r="A78" s="2" t="s">
        <v>1837</v>
      </c>
      <c r="B78" s="81" t="s">
        <v>1838</v>
      </c>
      <c r="C78" s="5">
        <v>43266</v>
      </c>
      <c r="D78" s="179" t="s">
        <v>1839</v>
      </c>
      <c r="E78" s="3" t="s">
        <v>1840</v>
      </c>
      <c r="F78" s="49" t="s">
        <v>1841</v>
      </c>
      <c r="G78" s="49" t="s">
        <v>1842</v>
      </c>
      <c r="H78" s="5"/>
      <c r="I78" s="5"/>
      <c r="J78" s="5"/>
      <c r="K78" s="4">
        <v>43287</v>
      </c>
      <c r="L78" s="49" t="s">
        <v>1843</v>
      </c>
      <c r="M78" s="31">
        <f>1084115.85+1215928.5+1155437.94+1054977.8+1169795+1043066.68+1164029</f>
        <v>7887350.7699999996</v>
      </c>
      <c r="N78" s="32">
        <v>7</v>
      </c>
      <c r="O78" s="47" t="s">
        <v>1844</v>
      </c>
      <c r="P78" s="89">
        <v>1043066.68</v>
      </c>
      <c r="Q78" s="4">
        <v>43304</v>
      </c>
      <c r="R78" s="90" t="s">
        <v>925</v>
      </c>
      <c r="S78" s="90"/>
      <c r="T78" s="90"/>
      <c r="U78" s="90"/>
      <c r="V78" s="33" t="s">
        <v>926</v>
      </c>
      <c r="W78" s="33" t="s">
        <v>24</v>
      </c>
      <c r="X78" s="53"/>
    </row>
    <row r="79" spans="1:24" x14ac:dyDescent="0.2">
      <c r="A79" s="2" t="s">
        <v>1845</v>
      </c>
      <c r="B79" s="81" t="s">
        <v>1846</v>
      </c>
      <c r="C79" s="5">
        <v>43266</v>
      </c>
      <c r="D79" s="179" t="s">
        <v>1847</v>
      </c>
      <c r="E79" s="3" t="s">
        <v>1848</v>
      </c>
      <c r="F79" s="49" t="s">
        <v>1849</v>
      </c>
      <c r="G79" s="5"/>
      <c r="H79" s="5"/>
      <c r="I79" s="5"/>
      <c r="J79" s="5"/>
      <c r="K79" s="4">
        <v>43287</v>
      </c>
      <c r="L79" s="49" t="s">
        <v>1850</v>
      </c>
      <c r="M79" s="31">
        <f>2058905+1959922+2020582.15+1751450.4+1883604.5</f>
        <v>9674464.0500000007</v>
      </c>
      <c r="N79" s="32">
        <v>5</v>
      </c>
      <c r="O79" s="47" t="s">
        <v>1851</v>
      </c>
      <c r="P79" s="89">
        <v>1751450.4</v>
      </c>
      <c r="Q79" s="4">
        <v>43304</v>
      </c>
      <c r="R79" s="90" t="s">
        <v>925</v>
      </c>
      <c r="S79" s="90"/>
      <c r="T79" s="90"/>
      <c r="U79" s="90"/>
      <c r="V79" s="33" t="s">
        <v>926</v>
      </c>
      <c r="W79" s="33" t="s">
        <v>24</v>
      </c>
      <c r="X79" s="53"/>
    </row>
    <row r="80" spans="1:24" x14ac:dyDescent="0.2">
      <c r="A80" s="2" t="s">
        <v>1852</v>
      </c>
      <c r="B80" s="81" t="s">
        <v>1853</v>
      </c>
      <c r="C80" s="4">
        <v>43276</v>
      </c>
      <c r="D80" s="48" t="s">
        <v>1854</v>
      </c>
      <c r="E80" s="3" t="s">
        <v>1855</v>
      </c>
      <c r="F80" s="47" t="s">
        <v>1856</v>
      </c>
      <c r="G80" s="4"/>
      <c r="H80" s="4"/>
      <c r="I80" s="4"/>
      <c r="J80" s="4"/>
      <c r="K80" s="4">
        <v>43298</v>
      </c>
      <c r="L80" s="49" t="s">
        <v>1857</v>
      </c>
      <c r="M80" s="31">
        <f>236103+271580+214285+283000+247060</f>
        <v>1252028</v>
      </c>
      <c r="N80" s="32">
        <v>5</v>
      </c>
      <c r="O80" s="47" t="s">
        <v>1858</v>
      </c>
      <c r="P80" s="89">
        <v>214285</v>
      </c>
      <c r="Q80" s="4">
        <v>43318</v>
      </c>
      <c r="R80" s="90" t="s">
        <v>1131</v>
      </c>
      <c r="S80" s="90"/>
      <c r="T80" s="90"/>
      <c r="U80" s="90"/>
      <c r="V80" s="33" t="s">
        <v>926</v>
      </c>
      <c r="W80" s="33" t="s">
        <v>24</v>
      </c>
      <c r="X80" s="53"/>
    </row>
    <row r="81" spans="1:24" ht="22.5" x14ac:dyDescent="0.2">
      <c r="A81" s="2" t="s">
        <v>1859</v>
      </c>
      <c r="B81" s="81" t="s">
        <v>1860</v>
      </c>
      <c r="C81" s="5" t="s">
        <v>73</v>
      </c>
      <c r="D81" s="44" t="s">
        <v>73</v>
      </c>
      <c r="E81" s="3" t="s">
        <v>86</v>
      </c>
      <c r="F81" s="5" t="s">
        <v>86</v>
      </c>
      <c r="G81" s="5"/>
      <c r="H81" s="5"/>
      <c r="I81" s="5"/>
      <c r="J81" s="5"/>
      <c r="K81" s="4" t="s">
        <v>86</v>
      </c>
      <c r="L81" s="5" t="s">
        <v>86</v>
      </c>
      <c r="M81" s="31">
        <v>530652.94999999995</v>
      </c>
      <c r="N81" s="32">
        <v>1</v>
      </c>
      <c r="O81" s="47" t="s">
        <v>1861</v>
      </c>
      <c r="P81" s="89">
        <v>530652.94999999995</v>
      </c>
      <c r="Q81" s="4">
        <v>43262</v>
      </c>
      <c r="R81" s="90" t="s">
        <v>370</v>
      </c>
      <c r="S81" s="90"/>
      <c r="T81" s="90"/>
      <c r="U81" s="90"/>
      <c r="V81" s="33" t="s">
        <v>931</v>
      </c>
      <c r="W81" s="33" t="s">
        <v>22</v>
      </c>
      <c r="X81" s="53" t="s">
        <v>1862</v>
      </c>
    </row>
    <row r="82" spans="1:24" x14ac:dyDescent="0.2">
      <c r="A82" s="2" t="s">
        <v>1863</v>
      </c>
      <c r="B82" s="81" t="s">
        <v>1864</v>
      </c>
      <c r="C82" s="5"/>
      <c r="D82" s="179"/>
      <c r="E82" s="3"/>
      <c r="F82" s="49"/>
      <c r="G82" s="5"/>
      <c r="H82" s="5"/>
      <c r="I82" s="5"/>
      <c r="J82" s="5"/>
      <c r="K82" s="4"/>
      <c r="L82" s="181"/>
      <c r="M82" s="31"/>
      <c r="N82" s="32"/>
      <c r="O82" s="47"/>
      <c r="P82" s="89"/>
      <c r="Q82" s="4"/>
      <c r="R82" s="90"/>
      <c r="S82" s="90"/>
      <c r="T82" s="90"/>
      <c r="U82" s="90"/>
      <c r="V82" s="33"/>
      <c r="W82" s="33"/>
      <c r="X82" s="53"/>
    </row>
    <row r="83" spans="1:24" x14ac:dyDescent="0.2">
      <c r="A83" s="2" t="s">
        <v>1865</v>
      </c>
      <c r="B83" s="81" t="s">
        <v>1866</v>
      </c>
      <c r="C83" s="5" t="s">
        <v>73</v>
      </c>
      <c r="D83" s="44" t="s">
        <v>73</v>
      </c>
      <c r="E83" s="3" t="s">
        <v>86</v>
      </c>
      <c r="F83" s="5" t="s">
        <v>86</v>
      </c>
      <c r="G83" s="5"/>
      <c r="H83" s="5"/>
      <c r="I83" s="5"/>
      <c r="J83" s="5"/>
      <c r="K83" s="4" t="s">
        <v>86</v>
      </c>
      <c r="L83" s="33" t="s">
        <v>86</v>
      </c>
      <c r="M83" s="31">
        <v>1415175</v>
      </c>
      <c r="N83" s="32">
        <v>1</v>
      </c>
      <c r="O83" s="47" t="s">
        <v>1867</v>
      </c>
      <c r="P83" s="89">
        <v>1415175</v>
      </c>
      <c r="Q83" s="4">
        <v>43262</v>
      </c>
      <c r="R83" s="90" t="s">
        <v>1868</v>
      </c>
      <c r="S83" s="90"/>
      <c r="T83" s="90"/>
      <c r="U83" s="90"/>
      <c r="V83" s="33" t="s">
        <v>931</v>
      </c>
      <c r="W83" s="33" t="s">
        <v>24</v>
      </c>
      <c r="X83" s="53" t="s">
        <v>1869</v>
      </c>
    </row>
    <row r="84" spans="1:24" x14ac:dyDescent="0.2">
      <c r="A84" s="2" t="s">
        <v>1870</v>
      </c>
      <c r="B84" s="138" t="s">
        <v>1509</v>
      </c>
      <c r="C84" s="5">
        <v>43276</v>
      </c>
      <c r="D84" s="179" t="s">
        <v>1871</v>
      </c>
      <c r="E84" s="3" t="s">
        <v>1872</v>
      </c>
      <c r="F84" s="47" t="s">
        <v>1873</v>
      </c>
      <c r="G84" s="4"/>
      <c r="H84" s="4"/>
      <c r="I84" s="4"/>
      <c r="J84" s="4"/>
      <c r="K84" s="4">
        <v>43301</v>
      </c>
      <c r="L84" s="181" t="s">
        <v>1874</v>
      </c>
      <c r="M84" s="31">
        <f>4829260+6245509.7</f>
        <v>11074769.699999999</v>
      </c>
      <c r="N84" s="32">
        <v>2</v>
      </c>
      <c r="O84" s="47"/>
      <c r="P84" s="89"/>
      <c r="Q84" s="4"/>
      <c r="R84" s="90"/>
      <c r="S84" s="90"/>
      <c r="T84" s="90"/>
      <c r="U84" s="90"/>
      <c r="V84" s="33" t="s">
        <v>926</v>
      </c>
      <c r="W84" s="33" t="s">
        <v>24</v>
      </c>
      <c r="X84" s="53"/>
    </row>
    <row r="85" spans="1:24" ht="22.5" x14ac:dyDescent="0.2">
      <c r="A85" s="2" t="s">
        <v>1875</v>
      </c>
      <c r="B85" s="81" t="s">
        <v>1876</v>
      </c>
      <c r="C85" s="5" t="s">
        <v>73</v>
      </c>
      <c r="D85" s="44" t="s">
        <v>73</v>
      </c>
      <c r="E85" s="3" t="s">
        <v>86</v>
      </c>
      <c r="F85" s="5" t="s">
        <v>86</v>
      </c>
      <c r="G85" s="5"/>
      <c r="H85" s="5"/>
      <c r="I85" s="5"/>
      <c r="J85" s="5"/>
      <c r="K85" s="4" t="s">
        <v>86</v>
      </c>
      <c r="L85" s="33" t="s">
        <v>86</v>
      </c>
      <c r="M85" s="31">
        <v>93751</v>
      </c>
      <c r="N85" s="32">
        <v>1</v>
      </c>
      <c r="O85" s="47" t="s">
        <v>1877</v>
      </c>
      <c r="P85" s="89">
        <v>93751</v>
      </c>
      <c r="Q85" s="4">
        <v>43290</v>
      </c>
      <c r="R85" s="90" t="s">
        <v>1878</v>
      </c>
      <c r="S85" s="90"/>
      <c r="T85" s="90"/>
      <c r="U85" s="90"/>
      <c r="V85" s="33" t="s">
        <v>931</v>
      </c>
      <c r="W85" s="33" t="s">
        <v>22</v>
      </c>
      <c r="X85" s="53" t="s">
        <v>314</v>
      </c>
    </row>
    <row r="86" spans="1:24" ht="22.5" x14ac:dyDescent="0.2">
      <c r="A86" s="2" t="s">
        <v>1879</v>
      </c>
      <c r="B86" s="81" t="s">
        <v>1880</v>
      </c>
      <c r="C86" s="4" t="s">
        <v>73</v>
      </c>
      <c r="D86" s="44" t="s">
        <v>73</v>
      </c>
      <c r="E86" s="3" t="s">
        <v>86</v>
      </c>
      <c r="F86" s="4" t="s">
        <v>86</v>
      </c>
      <c r="G86" s="4"/>
      <c r="H86" s="4"/>
      <c r="I86" s="4"/>
      <c r="J86" s="4"/>
      <c r="K86" s="4" t="s">
        <v>86</v>
      </c>
      <c r="L86" s="33" t="s">
        <v>86</v>
      </c>
      <c r="M86" s="31">
        <v>183744.23</v>
      </c>
      <c r="N86" s="32">
        <v>1</v>
      </c>
      <c r="O86" s="47" t="s">
        <v>1881</v>
      </c>
      <c r="P86" s="89">
        <v>183744.23</v>
      </c>
      <c r="Q86" s="4">
        <v>43290</v>
      </c>
      <c r="R86" s="90" t="s">
        <v>1072</v>
      </c>
      <c r="S86" s="90"/>
      <c r="T86" s="90"/>
      <c r="U86" s="90"/>
      <c r="V86" s="33" t="s">
        <v>931</v>
      </c>
      <c r="W86" s="33" t="s">
        <v>22</v>
      </c>
      <c r="X86" s="53" t="s">
        <v>1073</v>
      </c>
    </row>
    <row r="87" spans="1:24" ht="22.5" x14ac:dyDescent="0.2">
      <c r="A87" s="2" t="s">
        <v>1882</v>
      </c>
      <c r="B87" s="81" t="s">
        <v>1883</v>
      </c>
      <c r="C87" s="5" t="s">
        <v>73</v>
      </c>
      <c r="D87" s="44" t="s">
        <v>73</v>
      </c>
      <c r="E87" s="3" t="s">
        <v>86</v>
      </c>
      <c r="F87" s="5" t="s">
        <v>86</v>
      </c>
      <c r="G87" s="5"/>
      <c r="H87" s="5"/>
      <c r="I87" s="5"/>
      <c r="J87" s="5"/>
      <c r="K87" s="4" t="s">
        <v>86</v>
      </c>
      <c r="L87" s="33" t="s">
        <v>86</v>
      </c>
      <c r="M87" s="31">
        <f>231430.2+998331.15</f>
        <v>1229761.3500000001</v>
      </c>
      <c r="N87" s="32">
        <v>1</v>
      </c>
      <c r="O87" s="47" t="s">
        <v>1884</v>
      </c>
      <c r="P87" s="89">
        <f>231430.2+998331.15</f>
        <v>1229761.3500000001</v>
      </c>
      <c r="Q87" s="4">
        <v>43290</v>
      </c>
      <c r="R87" s="97" t="s">
        <v>370</v>
      </c>
      <c r="S87" s="97"/>
      <c r="T87" s="97"/>
      <c r="U87" s="97"/>
      <c r="V87" s="33" t="s">
        <v>931</v>
      </c>
      <c r="W87" s="33" t="s">
        <v>22</v>
      </c>
      <c r="X87" s="53" t="s">
        <v>1885</v>
      </c>
    </row>
    <row r="88" spans="1:24" x14ac:dyDescent="0.2">
      <c r="A88" s="2" t="s">
        <v>1886</v>
      </c>
      <c r="B88" s="81" t="s">
        <v>1887</v>
      </c>
      <c r="C88" s="5" t="s">
        <v>73</v>
      </c>
      <c r="D88" s="44" t="s">
        <v>73</v>
      </c>
      <c r="E88" s="3" t="s">
        <v>86</v>
      </c>
      <c r="F88" s="5" t="s">
        <v>86</v>
      </c>
      <c r="G88" s="5"/>
      <c r="H88" s="5"/>
      <c r="I88" s="5"/>
      <c r="J88" s="5"/>
      <c r="K88" s="4" t="s">
        <v>86</v>
      </c>
      <c r="L88" s="33" t="s">
        <v>86</v>
      </c>
      <c r="M88" s="31">
        <v>797350.19</v>
      </c>
      <c r="N88" s="32">
        <v>1</v>
      </c>
      <c r="O88" s="47" t="s">
        <v>1888</v>
      </c>
      <c r="P88" s="89">
        <v>797350.19</v>
      </c>
      <c r="Q88" s="4">
        <v>43304</v>
      </c>
      <c r="R88" s="90" t="s">
        <v>370</v>
      </c>
      <c r="S88" s="90"/>
      <c r="T88" s="90"/>
      <c r="U88" s="90"/>
      <c r="V88" s="33" t="s">
        <v>931</v>
      </c>
      <c r="W88" s="33" t="s">
        <v>22</v>
      </c>
      <c r="X88" s="53" t="s">
        <v>1073</v>
      </c>
    </row>
    <row r="89" spans="1:24" ht="22.5" x14ac:dyDescent="0.2">
      <c r="A89" s="2" t="s">
        <v>1889</v>
      </c>
      <c r="B89" s="81" t="s">
        <v>1338</v>
      </c>
      <c r="C89" s="5" t="s">
        <v>73</v>
      </c>
      <c r="D89" s="44" t="s">
        <v>73</v>
      </c>
      <c r="E89" s="3" t="s">
        <v>86</v>
      </c>
      <c r="F89" s="5" t="s">
        <v>86</v>
      </c>
      <c r="G89" s="5"/>
      <c r="H89" s="5"/>
      <c r="I89" s="5"/>
      <c r="J89" s="5"/>
      <c r="K89" s="4" t="s">
        <v>86</v>
      </c>
      <c r="L89" s="33" t="s">
        <v>86</v>
      </c>
      <c r="M89" s="31">
        <v>250000</v>
      </c>
      <c r="N89" s="32">
        <v>1</v>
      </c>
      <c r="O89" s="49" t="s">
        <v>1890</v>
      </c>
      <c r="P89" s="95">
        <v>250000</v>
      </c>
      <c r="Q89" s="4">
        <v>43290</v>
      </c>
      <c r="R89" s="90" t="s">
        <v>1171</v>
      </c>
      <c r="S89" s="90"/>
      <c r="T89" s="90"/>
      <c r="U89" s="90"/>
      <c r="V89" s="33" t="s">
        <v>931</v>
      </c>
      <c r="W89" s="33" t="s">
        <v>22</v>
      </c>
      <c r="X89" s="53" t="s">
        <v>1172</v>
      </c>
    </row>
    <row r="90" spans="1:24" x14ac:dyDescent="0.2">
      <c r="A90" s="2" t="s">
        <v>1891</v>
      </c>
      <c r="B90" s="81" t="s">
        <v>1892</v>
      </c>
      <c r="C90" s="5" t="s">
        <v>73</v>
      </c>
      <c r="D90" s="44" t="s">
        <v>73</v>
      </c>
      <c r="E90" s="3" t="s">
        <v>1817</v>
      </c>
      <c r="F90" s="49" t="s">
        <v>1893</v>
      </c>
      <c r="G90" s="49" t="s">
        <v>1894</v>
      </c>
      <c r="H90" s="5"/>
      <c r="I90" s="5"/>
      <c r="J90" s="5"/>
      <c r="K90" s="4">
        <v>43369</v>
      </c>
      <c r="L90" s="181" t="s">
        <v>1895</v>
      </c>
      <c r="M90" s="31">
        <f>72000*N90</f>
        <v>72000</v>
      </c>
      <c r="N90" s="32">
        <v>1</v>
      </c>
      <c r="O90" s="47" t="s">
        <v>1896</v>
      </c>
      <c r="P90" s="89">
        <v>72000</v>
      </c>
      <c r="Q90" s="4">
        <v>43381</v>
      </c>
      <c r="R90" s="90" t="s">
        <v>1897</v>
      </c>
      <c r="S90" s="90"/>
      <c r="T90" s="90"/>
      <c r="U90" s="90"/>
      <c r="V90" s="33" t="s">
        <v>926</v>
      </c>
      <c r="W90" s="33" t="s">
        <v>22</v>
      </c>
      <c r="X90" s="53"/>
    </row>
    <row r="91" spans="1:24" ht="22.5" x14ac:dyDescent="0.2">
      <c r="A91" s="2" t="s">
        <v>1898</v>
      </c>
      <c r="B91" s="81" t="s">
        <v>1899</v>
      </c>
      <c r="C91" s="5" t="s">
        <v>73</v>
      </c>
      <c r="D91" s="44" t="s">
        <v>73</v>
      </c>
      <c r="E91" s="3" t="s">
        <v>86</v>
      </c>
      <c r="F91" s="5" t="s">
        <v>86</v>
      </c>
      <c r="G91" s="5"/>
      <c r="H91" s="5"/>
      <c r="I91" s="5"/>
      <c r="J91" s="5"/>
      <c r="K91" s="4" t="s">
        <v>86</v>
      </c>
      <c r="L91" s="33" t="s">
        <v>86</v>
      </c>
      <c r="M91" s="31">
        <v>65000</v>
      </c>
      <c r="N91" s="32">
        <v>1</v>
      </c>
      <c r="O91" s="47" t="s">
        <v>1900</v>
      </c>
      <c r="P91" s="89">
        <v>65000</v>
      </c>
      <c r="Q91" s="4">
        <v>43332</v>
      </c>
      <c r="R91" s="90" t="s">
        <v>1901</v>
      </c>
      <c r="S91" s="90"/>
      <c r="T91" s="90"/>
      <c r="U91" s="90"/>
      <c r="V91" s="33" t="s">
        <v>931</v>
      </c>
      <c r="W91" s="33" t="s">
        <v>22</v>
      </c>
      <c r="X91" s="53" t="s">
        <v>1902</v>
      </c>
    </row>
    <row r="92" spans="1:24" x14ac:dyDescent="0.2">
      <c r="A92" s="2" t="s">
        <v>1903</v>
      </c>
      <c r="B92" s="81" t="s">
        <v>1904</v>
      </c>
      <c r="C92" s="5" t="s">
        <v>73</v>
      </c>
      <c r="D92" s="44" t="s">
        <v>73</v>
      </c>
      <c r="E92" s="3" t="s">
        <v>86</v>
      </c>
      <c r="F92" s="5" t="s">
        <v>86</v>
      </c>
      <c r="G92" s="5"/>
      <c r="H92" s="5"/>
      <c r="I92" s="5"/>
      <c r="J92" s="5"/>
      <c r="K92" s="4" t="s">
        <v>86</v>
      </c>
      <c r="L92" s="33" t="s">
        <v>86</v>
      </c>
      <c r="M92" s="31">
        <v>59893</v>
      </c>
      <c r="N92" s="32">
        <v>1</v>
      </c>
      <c r="O92" s="47" t="s">
        <v>1905</v>
      </c>
      <c r="P92" s="89">
        <v>59893</v>
      </c>
      <c r="Q92" s="4">
        <v>43332</v>
      </c>
      <c r="R92" s="90" t="s">
        <v>1906</v>
      </c>
      <c r="S92" s="90"/>
      <c r="T92" s="90"/>
      <c r="U92" s="90"/>
      <c r="V92" s="33" t="s">
        <v>931</v>
      </c>
      <c r="W92" s="33" t="s">
        <v>23</v>
      </c>
      <c r="X92" s="53" t="s">
        <v>1907</v>
      </c>
    </row>
    <row r="93" spans="1:24" x14ac:dyDescent="0.2">
      <c r="A93" s="2" t="s">
        <v>1908</v>
      </c>
      <c r="B93" s="81" t="s">
        <v>1909</v>
      </c>
      <c r="C93" s="5">
        <v>43347</v>
      </c>
      <c r="D93" s="179" t="s">
        <v>1910</v>
      </c>
      <c r="E93" s="3" t="s">
        <v>1911</v>
      </c>
      <c r="F93" s="49" t="s">
        <v>1912</v>
      </c>
      <c r="G93" s="5"/>
      <c r="H93" s="5"/>
      <c r="I93" s="5"/>
      <c r="J93" s="5"/>
      <c r="K93" s="4">
        <v>43367</v>
      </c>
      <c r="L93" s="181" t="s">
        <v>1913</v>
      </c>
      <c r="M93" s="31">
        <f>1550264+1425524+1067576+1801707</f>
        <v>5845071</v>
      </c>
      <c r="N93" s="32">
        <v>4</v>
      </c>
      <c r="O93" s="47" t="s">
        <v>1914</v>
      </c>
      <c r="P93" s="89">
        <v>1200000</v>
      </c>
      <c r="Q93" s="4">
        <v>43395</v>
      </c>
      <c r="R93" s="90" t="s">
        <v>273</v>
      </c>
      <c r="S93" s="90"/>
      <c r="T93" s="90"/>
      <c r="U93" s="90"/>
      <c r="V93" s="33" t="s">
        <v>926</v>
      </c>
      <c r="W93" s="33" t="s">
        <v>24</v>
      </c>
      <c r="X93" s="53"/>
    </row>
    <row r="94" spans="1:24" x14ac:dyDescent="0.2">
      <c r="A94" s="2" t="s">
        <v>1915</v>
      </c>
      <c r="B94" s="81" t="s">
        <v>1916</v>
      </c>
      <c r="C94" s="5">
        <v>43347</v>
      </c>
      <c r="D94" s="179" t="s">
        <v>1917</v>
      </c>
      <c r="E94" s="3" t="s">
        <v>1911</v>
      </c>
      <c r="F94" s="49" t="s">
        <v>1918</v>
      </c>
      <c r="G94" s="5"/>
      <c r="H94" s="5"/>
      <c r="I94" s="5"/>
      <c r="J94" s="5"/>
      <c r="K94" s="4">
        <v>43368</v>
      </c>
      <c r="L94" s="181" t="s">
        <v>1919</v>
      </c>
      <c r="M94" s="31">
        <f>1477064+1212084+1012531</f>
        <v>3701679</v>
      </c>
      <c r="N94" s="32">
        <v>3</v>
      </c>
      <c r="O94" s="47" t="s">
        <v>1920</v>
      </c>
      <c r="P94" s="89">
        <v>1000000</v>
      </c>
      <c r="Q94" s="4">
        <v>43395</v>
      </c>
      <c r="R94" s="90" t="s">
        <v>273</v>
      </c>
      <c r="S94" s="90"/>
      <c r="T94" s="90"/>
      <c r="U94" s="90"/>
      <c r="V94" s="33" t="s">
        <v>926</v>
      </c>
      <c r="W94" s="33" t="s">
        <v>24</v>
      </c>
      <c r="X94" s="53"/>
    </row>
    <row r="95" spans="1:24" x14ac:dyDescent="0.2">
      <c r="A95" s="2" t="s">
        <v>1921</v>
      </c>
      <c r="B95" s="81" t="s">
        <v>1345</v>
      </c>
      <c r="C95" s="5">
        <v>43347</v>
      </c>
      <c r="D95" s="179" t="s">
        <v>1922</v>
      </c>
      <c r="E95" s="98" t="s">
        <v>1911</v>
      </c>
      <c r="F95" s="49" t="s">
        <v>1923</v>
      </c>
      <c r="G95" s="5"/>
      <c r="H95" s="5"/>
      <c r="I95" s="5"/>
      <c r="J95" s="5"/>
      <c r="K95" s="4">
        <v>43369</v>
      </c>
      <c r="L95" s="181" t="s">
        <v>1924</v>
      </c>
      <c r="M95" s="31">
        <f>1208049+1481117.3</f>
        <v>2689166.3</v>
      </c>
      <c r="N95" s="32">
        <v>2</v>
      </c>
      <c r="O95" s="47" t="s">
        <v>1925</v>
      </c>
      <c r="P95" s="89">
        <v>1400000</v>
      </c>
      <c r="Q95" s="4">
        <v>43395</v>
      </c>
      <c r="R95" s="90" t="s">
        <v>1926</v>
      </c>
      <c r="S95" s="90"/>
      <c r="T95" s="90"/>
      <c r="U95" s="90"/>
      <c r="V95" s="33" t="s">
        <v>926</v>
      </c>
      <c r="W95" s="33" t="s">
        <v>24</v>
      </c>
      <c r="X95" s="53"/>
    </row>
    <row r="96" spans="1:24" ht="22.5" x14ac:dyDescent="0.2">
      <c r="A96" s="2" t="s">
        <v>1927</v>
      </c>
      <c r="B96" s="81" t="s">
        <v>1928</v>
      </c>
      <c r="C96" s="5" t="s">
        <v>73</v>
      </c>
      <c r="D96" s="44" t="s">
        <v>73</v>
      </c>
      <c r="E96" s="3" t="s">
        <v>86</v>
      </c>
      <c r="F96" s="5" t="s">
        <v>86</v>
      </c>
      <c r="G96" s="5"/>
      <c r="H96" s="5"/>
      <c r="I96" s="5"/>
      <c r="J96" s="5"/>
      <c r="K96" s="4" t="s">
        <v>86</v>
      </c>
      <c r="L96" s="33" t="s">
        <v>86</v>
      </c>
      <c r="M96" s="31">
        <v>71309.94</v>
      </c>
      <c r="N96" s="32">
        <v>1</v>
      </c>
      <c r="O96" s="47" t="s">
        <v>1929</v>
      </c>
      <c r="P96" s="89">
        <v>71309.94</v>
      </c>
      <c r="Q96" s="4">
        <v>43360</v>
      </c>
      <c r="R96" s="90" t="s">
        <v>383</v>
      </c>
      <c r="S96" s="90"/>
      <c r="T96" s="90"/>
      <c r="U96" s="90"/>
      <c r="V96" s="33" t="s">
        <v>931</v>
      </c>
      <c r="W96" s="33" t="s">
        <v>24</v>
      </c>
      <c r="X96" s="53" t="s">
        <v>1047</v>
      </c>
    </row>
    <row r="97" spans="1:25" x14ac:dyDescent="0.2">
      <c r="A97" s="2" t="s">
        <v>1930</v>
      </c>
      <c r="B97" s="81" t="s">
        <v>1931</v>
      </c>
      <c r="C97" s="4">
        <v>43341</v>
      </c>
      <c r="D97" s="179" t="s">
        <v>1932</v>
      </c>
      <c r="E97" s="3" t="s">
        <v>1933</v>
      </c>
      <c r="F97" s="47" t="s">
        <v>1934</v>
      </c>
      <c r="G97" s="4"/>
      <c r="H97" s="4"/>
      <c r="I97" s="4"/>
      <c r="J97" s="4"/>
      <c r="K97" s="4">
        <v>43367</v>
      </c>
      <c r="L97" s="181" t="s">
        <v>1935</v>
      </c>
      <c r="M97" s="31">
        <f>1106512.5+1516445+1287266+1494625+1304990+1321552+1550762.5+1552600+1223158.79</f>
        <v>12357911.789999999</v>
      </c>
      <c r="N97" s="32">
        <v>9</v>
      </c>
      <c r="O97" s="47" t="s">
        <v>1936</v>
      </c>
      <c r="P97" s="89">
        <v>1106512.5</v>
      </c>
      <c r="Q97" s="4">
        <v>43381</v>
      </c>
      <c r="R97" s="90" t="s">
        <v>755</v>
      </c>
      <c r="S97" s="90"/>
      <c r="T97" s="90"/>
      <c r="U97" s="90"/>
      <c r="V97" s="33" t="s">
        <v>926</v>
      </c>
      <c r="W97" s="33" t="s">
        <v>24</v>
      </c>
      <c r="X97" s="53"/>
    </row>
    <row r="98" spans="1:25" ht="12" thickBot="1" x14ac:dyDescent="0.25">
      <c r="A98" s="7"/>
      <c r="B98" s="15"/>
      <c r="C98" s="8"/>
      <c r="D98" s="8"/>
      <c r="E98" s="9"/>
      <c r="F98" s="8"/>
      <c r="G98" s="8"/>
      <c r="H98" s="8"/>
      <c r="I98" s="8"/>
      <c r="J98" s="8"/>
      <c r="K98" s="8"/>
      <c r="L98" s="36"/>
      <c r="M98" s="34"/>
      <c r="N98" s="35"/>
      <c r="O98" s="8"/>
      <c r="P98" s="57"/>
      <c r="Q98" s="8"/>
      <c r="R98" s="39"/>
      <c r="S98" s="39"/>
      <c r="T98" s="39"/>
      <c r="U98" s="39"/>
      <c r="V98" s="36"/>
      <c r="W98" s="36"/>
      <c r="X98" s="54"/>
    </row>
    <row r="99" spans="1:25" x14ac:dyDescent="0.2">
      <c r="A99" s="45"/>
      <c r="B99" s="16"/>
      <c r="C99" s="99"/>
      <c r="D99" s="45"/>
      <c r="E99" s="6"/>
      <c r="F99" s="99"/>
      <c r="G99" s="99"/>
      <c r="H99" s="99"/>
      <c r="I99" s="99"/>
      <c r="J99" s="99"/>
      <c r="K99" s="99"/>
      <c r="L99" s="27"/>
      <c r="M99" s="27"/>
      <c r="N99" s="27"/>
      <c r="O99" s="99"/>
      <c r="P99" s="100"/>
      <c r="Q99" s="99"/>
      <c r="R99" s="101"/>
      <c r="S99" s="101"/>
      <c r="T99" s="101"/>
      <c r="U99" s="101"/>
      <c r="V99" s="27"/>
      <c r="W99" s="27"/>
      <c r="X99" s="23"/>
    </row>
    <row r="100" spans="1:25" x14ac:dyDescent="0.2">
      <c r="A100" s="10" t="s">
        <v>8</v>
      </c>
      <c r="B100" s="14" t="s">
        <v>8</v>
      </c>
      <c r="C100" s="1" t="s">
        <v>8</v>
      </c>
      <c r="L100" s="28" t="s">
        <v>25</v>
      </c>
      <c r="M100" s="29">
        <f>SUM(M16:M98)</f>
        <v>160648999.91</v>
      </c>
      <c r="N100" s="1"/>
      <c r="O100" s="24" t="s">
        <v>46</v>
      </c>
      <c r="P100" s="25">
        <f>SUM(P15:P98)</f>
        <v>34751818.649999991</v>
      </c>
      <c r="Q100" s="6"/>
      <c r="R100" s="12"/>
      <c r="S100" s="12"/>
      <c r="T100" s="12"/>
      <c r="U100" s="12"/>
      <c r="V100" s="26"/>
      <c r="W100" s="26"/>
    </row>
    <row r="101" spans="1:25" ht="12.75" x14ac:dyDescent="0.2">
      <c r="A101" s="38" t="s">
        <v>62</v>
      </c>
      <c r="B101" s="14"/>
      <c r="N101" s="1"/>
      <c r="O101" s="11"/>
      <c r="P101" s="71" t="s">
        <v>68</v>
      </c>
      <c r="Q101" s="71" t="s">
        <v>69</v>
      </c>
      <c r="R101" s="12"/>
      <c r="S101" s="12"/>
      <c r="T101" s="12"/>
      <c r="U101" s="12"/>
    </row>
    <row r="102" spans="1:25" x14ac:dyDescent="0.2">
      <c r="A102" s="10"/>
      <c r="B102" s="14"/>
      <c r="N102" s="1"/>
      <c r="O102" s="28" t="s">
        <v>22</v>
      </c>
      <c r="P102" s="30">
        <f>SUMIF(W16:W98,"GOODS",$P$16:$P$98)</f>
        <v>10644442.91</v>
      </c>
      <c r="Q102" s="73">
        <f>COUNTIFS(W15:W98,"GOODS",$P$15:$P$98,"&gt;=1")</f>
        <v>40</v>
      </c>
      <c r="R102" s="12"/>
      <c r="S102" s="12"/>
      <c r="T102" s="12"/>
      <c r="U102" s="12"/>
    </row>
    <row r="103" spans="1:25" x14ac:dyDescent="0.2">
      <c r="A103" s="10"/>
      <c r="B103" s="14"/>
      <c r="N103" s="1"/>
      <c r="O103" s="28" t="s">
        <v>23</v>
      </c>
      <c r="P103" s="30">
        <f>SUMIF(W16:W98,"SERVICES",$P$16:$P$98)</f>
        <v>1903314.2</v>
      </c>
      <c r="Q103" s="73">
        <f>COUNTIFS(W15:W98,"SERVICES",$P$15:$P$98,"&gt;=1")</f>
        <v>10</v>
      </c>
      <c r="R103" s="12"/>
      <c r="S103" s="12"/>
      <c r="T103" s="12"/>
      <c r="U103" s="12"/>
    </row>
    <row r="104" spans="1:25" x14ac:dyDescent="0.2">
      <c r="A104" s="10"/>
      <c r="B104" s="14"/>
      <c r="N104" s="1"/>
      <c r="O104" s="28" t="s">
        <v>24</v>
      </c>
      <c r="P104" s="70">
        <f>SUMIF(W16:W98,"CONSTRUCTION",$P$16:$P$98)</f>
        <v>22204061.540000003</v>
      </c>
      <c r="Q104" s="69">
        <f>COUNTIFS(W15:W98,"CONSTRUCTION",$P$15:$P$98,"&gt;=1")</f>
        <v>27</v>
      </c>
      <c r="R104" s="12"/>
      <c r="S104" s="12"/>
      <c r="T104" s="12"/>
      <c r="U104" s="12"/>
    </row>
    <row r="105" spans="1:25" x14ac:dyDescent="0.2">
      <c r="A105" s="10"/>
      <c r="B105" s="14"/>
      <c r="K105" s="11"/>
      <c r="O105" s="6"/>
      <c r="P105" s="75">
        <f>SUM(P102:P104)</f>
        <v>34751818.650000006</v>
      </c>
      <c r="Q105" s="76">
        <f>SUM(Q102:Q104)</f>
        <v>77</v>
      </c>
      <c r="R105" s="12"/>
      <c r="S105" s="12"/>
      <c r="T105" s="12"/>
      <c r="U105" s="12"/>
    </row>
    <row r="106" spans="1:25" ht="15.75" x14ac:dyDescent="0.25">
      <c r="A106" s="88" t="s">
        <v>32</v>
      </c>
      <c r="B106" s="88"/>
      <c r="L106" s="1"/>
      <c r="M106" s="1"/>
      <c r="O106" s="6"/>
      <c r="Q106" s="6"/>
      <c r="R106" s="12"/>
      <c r="S106" s="12"/>
      <c r="T106" s="12"/>
      <c r="U106" s="12"/>
    </row>
    <row r="107" spans="1:25" ht="15.75" x14ac:dyDescent="0.25">
      <c r="A107" s="88" t="s">
        <v>1493</v>
      </c>
      <c r="B107" s="88"/>
      <c r="C107" s="88"/>
      <c r="D107" s="102"/>
      <c r="L107" s="1"/>
      <c r="M107" s="1"/>
      <c r="N107" s="1"/>
      <c r="P107" s="14"/>
      <c r="Q107" s="6"/>
      <c r="R107" s="6"/>
      <c r="S107" s="6"/>
      <c r="T107" s="12"/>
      <c r="U107" s="12"/>
      <c r="V107" s="12"/>
      <c r="Y107" s="14"/>
    </row>
    <row r="108" spans="1:25" ht="12" thickBot="1" x14ac:dyDescent="0.25">
      <c r="T108" s="14"/>
      <c r="U108" s="14"/>
      <c r="V108" s="23"/>
      <c r="W108" s="1"/>
      <c r="X108" s="1"/>
    </row>
    <row r="109" spans="1:25" ht="11.85" customHeight="1" x14ac:dyDescent="0.2">
      <c r="A109" s="17"/>
      <c r="B109" s="17"/>
      <c r="C109" s="17"/>
      <c r="D109" s="41"/>
      <c r="E109" s="17"/>
      <c r="F109" s="17"/>
      <c r="G109" s="17"/>
      <c r="H109" s="17"/>
      <c r="I109" s="17"/>
      <c r="J109" s="17"/>
      <c r="K109" s="18" t="s">
        <v>10</v>
      </c>
      <c r="L109" s="18"/>
      <c r="M109" s="18" t="s">
        <v>53</v>
      </c>
      <c r="N109" s="18" t="s">
        <v>47</v>
      </c>
      <c r="O109" s="17"/>
      <c r="P109" s="17"/>
      <c r="Q109" s="210"/>
      <c r="R109" s="211"/>
      <c r="S109" s="18"/>
      <c r="T109" s="18"/>
      <c r="U109" s="18"/>
      <c r="V109" s="210"/>
      <c r="W109" s="211"/>
      <c r="X109" s="1"/>
    </row>
    <row r="110" spans="1:25" ht="11.85" customHeight="1" x14ac:dyDescent="0.2">
      <c r="A110" s="19" t="s">
        <v>0</v>
      </c>
      <c r="B110" s="19" t="s">
        <v>1</v>
      </c>
      <c r="C110" s="19" t="s">
        <v>0</v>
      </c>
      <c r="D110" s="42" t="s">
        <v>39</v>
      </c>
      <c r="E110" s="19" t="s">
        <v>2</v>
      </c>
      <c r="F110" s="19" t="s">
        <v>0</v>
      </c>
      <c r="G110" s="19" t="s">
        <v>41</v>
      </c>
      <c r="H110" s="19" t="s">
        <v>41</v>
      </c>
      <c r="I110" s="19" t="s">
        <v>41</v>
      </c>
      <c r="J110" s="19" t="s">
        <v>41</v>
      </c>
      <c r="K110" s="19" t="s">
        <v>3</v>
      </c>
      <c r="L110" s="19" t="s">
        <v>51</v>
      </c>
      <c r="M110" s="19" t="s">
        <v>54</v>
      </c>
      <c r="N110" s="19" t="s">
        <v>50</v>
      </c>
      <c r="O110" s="19" t="s">
        <v>4</v>
      </c>
      <c r="P110" s="19" t="s">
        <v>4</v>
      </c>
      <c r="Q110" s="212" t="s">
        <v>14</v>
      </c>
      <c r="R110" s="213"/>
      <c r="S110" s="19" t="s">
        <v>15</v>
      </c>
      <c r="T110" s="19" t="s">
        <v>21</v>
      </c>
      <c r="U110" s="19" t="s">
        <v>26</v>
      </c>
      <c r="V110" s="212" t="s">
        <v>65</v>
      </c>
      <c r="W110" s="213"/>
      <c r="X110" s="1"/>
    </row>
    <row r="111" spans="1:25" ht="11.85" customHeight="1" x14ac:dyDescent="0.2">
      <c r="A111" s="19" t="s">
        <v>5</v>
      </c>
      <c r="B111" s="19"/>
      <c r="C111" s="19" t="s">
        <v>39</v>
      </c>
      <c r="D111" s="42" t="s">
        <v>40</v>
      </c>
      <c r="E111" s="19" t="s">
        <v>7</v>
      </c>
      <c r="F111" s="19" t="s">
        <v>64</v>
      </c>
      <c r="G111" s="19" t="s">
        <v>42</v>
      </c>
      <c r="H111" s="19" t="s">
        <v>43</v>
      </c>
      <c r="I111" s="19" t="s">
        <v>44</v>
      </c>
      <c r="J111" s="19" t="s">
        <v>45</v>
      </c>
      <c r="K111" s="19" t="s">
        <v>6</v>
      </c>
      <c r="L111" s="19" t="s">
        <v>36</v>
      </c>
      <c r="M111" s="19" t="s">
        <v>13</v>
      </c>
      <c r="N111" s="19" t="s">
        <v>13</v>
      </c>
      <c r="O111" s="19" t="s">
        <v>9</v>
      </c>
      <c r="P111" s="19" t="s">
        <v>6</v>
      </c>
      <c r="Q111" s="212"/>
      <c r="R111" s="213"/>
      <c r="S111" s="19"/>
      <c r="T111" s="19" t="s">
        <v>28</v>
      </c>
      <c r="U111" s="19" t="s">
        <v>27</v>
      </c>
      <c r="V111" s="212"/>
      <c r="W111" s="213"/>
      <c r="X111" s="1"/>
    </row>
    <row r="112" spans="1:25" ht="2.25" customHeight="1" thickBot="1" x14ac:dyDescent="0.25">
      <c r="A112" s="21"/>
      <c r="B112" s="20"/>
      <c r="C112" s="22"/>
      <c r="D112" s="43"/>
      <c r="E112" s="20"/>
      <c r="F112" s="22"/>
      <c r="G112" s="22"/>
      <c r="H112" s="22"/>
      <c r="I112" s="22"/>
      <c r="J112" s="22"/>
      <c r="K112" s="20"/>
      <c r="L112" s="20"/>
      <c r="M112" s="20"/>
      <c r="N112" s="20"/>
      <c r="O112" s="20"/>
      <c r="P112" s="20"/>
      <c r="Q112" s="214"/>
      <c r="R112" s="215"/>
      <c r="S112" s="20"/>
      <c r="T112" s="20"/>
      <c r="U112" s="20"/>
      <c r="V112" s="214"/>
      <c r="W112" s="215"/>
      <c r="X112" s="1"/>
    </row>
    <row r="113" spans="1:31" x14ac:dyDescent="0.2">
      <c r="A113" s="2" t="s">
        <v>1937</v>
      </c>
      <c r="B113" s="93" t="s">
        <v>1938</v>
      </c>
      <c r="C113" s="4" t="s">
        <v>73</v>
      </c>
      <c r="D113" s="2" t="s">
        <v>73</v>
      </c>
      <c r="E113" s="4" t="s">
        <v>86</v>
      </c>
      <c r="F113" s="47" t="s">
        <v>1939</v>
      </c>
      <c r="G113" s="4"/>
      <c r="H113" s="4"/>
      <c r="I113" s="4"/>
      <c r="J113" s="4"/>
      <c r="K113" s="4">
        <v>43041</v>
      </c>
      <c r="L113" s="47" t="s">
        <v>1940</v>
      </c>
      <c r="M113" s="67">
        <f>20000*N113</f>
        <v>40000</v>
      </c>
      <c r="N113" s="65">
        <v>2</v>
      </c>
      <c r="O113" s="58">
        <v>20000</v>
      </c>
      <c r="P113" s="4">
        <v>43087</v>
      </c>
      <c r="Q113" s="216" t="s">
        <v>1941</v>
      </c>
      <c r="R113" s="217"/>
      <c r="S113" s="186"/>
      <c r="T113" s="63" t="s">
        <v>926</v>
      </c>
      <c r="U113" s="63" t="s">
        <v>22</v>
      </c>
      <c r="V113" s="218"/>
      <c r="W113" s="219"/>
      <c r="X113" s="1"/>
      <c r="Y113" s="6"/>
      <c r="Z113" s="12"/>
      <c r="AA113" s="12"/>
      <c r="AB113" s="12"/>
      <c r="AC113" s="14"/>
      <c r="AD113" s="14"/>
      <c r="AE113" s="14"/>
    </row>
    <row r="114" spans="1:31" x14ac:dyDescent="0.2">
      <c r="A114" s="2" t="s">
        <v>1942</v>
      </c>
      <c r="B114" s="93" t="s">
        <v>1943</v>
      </c>
      <c r="C114" s="4" t="s">
        <v>73</v>
      </c>
      <c r="D114" s="2" t="s">
        <v>73</v>
      </c>
      <c r="E114" s="4" t="s">
        <v>86</v>
      </c>
      <c r="F114" s="47" t="s">
        <v>1944</v>
      </c>
      <c r="G114" s="47"/>
      <c r="H114" s="4"/>
      <c r="I114" s="4"/>
      <c r="J114" s="4"/>
      <c r="K114" s="4">
        <v>43019</v>
      </c>
      <c r="L114" s="47" t="s">
        <v>1945</v>
      </c>
      <c r="M114" s="67">
        <f>29000*N114</f>
        <v>58000</v>
      </c>
      <c r="N114" s="65">
        <v>2</v>
      </c>
      <c r="O114" s="59">
        <v>29000</v>
      </c>
      <c r="P114" s="4">
        <v>43025</v>
      </c>
      <c r="Q114" s="216" t="s">
        <v>1946</v>
      </c>
      <c r="R114" s="217"/>
      <c r="S114" s="186"/>
      <c r="T114" s="63" t="s">
        <v>926</v>
      </c>
      <c r="U114" s="63" t="s">
        <v>23</v>
      </c>
      <c r="V114" s="220"/>
      <c r="W114" s="221"/>
      <c r="X114" s="1"/>
      <c r="Y114" s="6"/>
      <c r="Z114" s="12"/>
      <c r="AA114" s="12"/>
      <c r="AB114" s="12"/>
      <c r="AC114" s="14"/>
      <c r="AD114" s="14"/>
      <c r="AE114" s="14"/>
    </row>
    <row r="115" spans="1:31" x14ac:dyDescent="0.2">
      <c r="A115" s="2" t="s">
        <v>1947</v>
      </c>
      <c r="B115" s="93" t="s">
        <v>1948</v>
      </c>
      <c r="C115" s="3" t="s">
        <v>73</v>
      </c>
      <c r="D115" s="45" t="s">
        <v>73</v>
      </c>
      <c r="E115" s="4" t="s">
        <v>86</v>
      </c>
      <c r="F115" s="47"/>
      <c r="G115" s="4"/>
      <c r="H115" s="4"/>
      <c r="I115" s="4"/>
      <c r="J115" s="4"/>
      <c r="K115" s="4"/>
      <c r="L115" s="4"/>
      <c r="M115" s="67"/>
      <c r="N115" s="65"/>
      <c r="O115" s="59"/>
      <c r="P115" s="4"/>
      <c r="Q115" s="216"/>
      <c r="R115" s="217"/>
      <c r="S115" s="186"/>
      <c r="T115" s="63"/>
      <c r="U115" s="63"/>
      <c r="V115" s="220"/>
      <c r="W115" s="221"/>
      <c r="X115" s="1"/>
      <c r="Y115" s="6"/>
      <c r="Z115" s="12"/>
      <c r="AA115" s="12"/>
      <c r="AB115" s="12"/>
      <c r="AC115" s="14"/>
      <c r="AD115" s="14"/>
      <c r="AE115" s="14"/>
    </row>
    <row r="116" spans="1:31" x14ac:dyDescent="0.2">
      <c r="A116" s="2" t="s">
        <v>1949</v>
      </c>
      <c r="B116" s="93" t="s">
        <v>1950</v>
      </c>
      <c r="C116" s="3" t="s">
        <v>73</v>
      </c>
      <c r="D116" s="45" t="s">
        <v>73</v>
      </c>
      <c r="E116" s="4" t="s">
        <v>86</v>
      </c>
      <c r="F116" s="47" t="s">
        <v>1951</v>
      </c>
      <c r="G116" s="4"/>
      <c r="H116" s="4"/>
      <c r="I116" s="4"/>
      <c r="J116" s="4"/>
      <c r="K116" s="4">
        <v>43117</v>
      </c>
      <c r="L116" s="47" t="s">
        <v>1952</v>
      </c>
      <c r="M116" s="67">
        <f>15000*N116</f>
        <v>45000</v>
      </c>
      <c r="N116" s="65">
        <v>3</v>
      </c>
      <c r="O116" s="59">
        <v>15000</v>
      </c>
      <c r="P116" s="4">
        <v>43119</v>
      </c>
      <c r="Q116" s="216" t="s">
        <v>1953</v>
      </c>
      <c r="R116" s="217"/>
      <c r="S116" s="186"/>
      <c r="T116" s="63" t="s">
        <v>926</v>
      </c>
      <c r="U116" s="63" t="s">
        <v>22</v>
      </c>
      <c r="V116" s="220"/>
      <c r="W116" s="221"/>
      <c r="X116" s="1"/>
      <c r="Y116" s="6"/>
      <c r="Z116" s="12"/>
      <c r="AA116" s="12"/>
      <c r="AB116" s="12"/>
      <c r="AC116" s="14"/>
      <c r="AD116" s="14"/>
      <c r="AE116" s="14"/>
    </row>
    <row r="117" spans="1:31" x14ac:dyDescent="0.2">
      <c r="A117" s="2" t="s">
        <v>1954</v>
      </c>
      <c r="B117" s="93" t="s">
        <v>1955</v>
      </c>
      <c r="C117" s="3" t="s">
        <v>73</v>
      </c>
      <c r="D117" s="45" t="s">
        <v>73</v>
      </c>
      <c r="E117" s="4" t="s">
        <v>86</v>
      </c>
      <c r="F117" s="47" t="s">
        <v>1956</v>
      </c>
      <c r="G117" s="47"/>
      <c r="H117" s="4"/>
      <c r="I117" s="4"/>
      <c r="J117" s="4"/>
      <c r="K117" s="4">
        <v>43118</v>
      </c>
      <c r="L117" s="47" t="s">
        <v>1957</v>
      </c>
      <c r="M117" s="67">
        <f>20000*N117</f>
        <v>20000</v>
      </c>
      <c r="N117" s="65">
        <v>1</v>
      </c>
      <c r="O117" s="59">
        <v>20000</v>
      </c>
      <c r="P117" s="4">
        <v>43179</v>
      </c>
      <c r="Q117" s="216" t="s">
        <v>1384</v>
      </c>
      <c r="R117" s="217"/>
      <c r="S117" s="186"/>
      <c r="T117" s="63" t="s">
        <v>926</v>
      </c>
      <c r="U117" s="63" t="s">
        <v>23</v>
      </c>
      <c r="V117" s="220"/>
      <c r="W117" s="221"/>
      <c r="X117" s="1"/>
      <c r="Y117" s="6"/>
      <c r="Z117" s="12"/>
      <c r="AA117" s="12"/>
      <c r="AB117" s="12"/>
      <c r="AC117" s="14"/>
      <c r="AD117" s="14"/>
      <c r="AE117" s="14"/>
    </row>
    <row r="118" spans="1:31" x14ac:dyDescent="0.2">
      <c r="A118" s="2" t="s">
        <v>1958</v>
      </c>
      <c r="B118" s="93" t="s">
        <v>1959</v>
      </c>
      <c r="C118" s="3" t="s">
        <v>73</v>
      </c>
      <c r="D118" s="45" t="s">
        <v>73</v>
      </c>
      <c r="E118" s="4" t="s">
        <v>86</v>
      </c>
      <c r="F118" s="47" t="s">
        <v>1960</v>
      </c>
      <c r="G118" s="4"/>
      <c r="H118" s="4"/>
      <c r="I118" s="4"/>
      <c r="J118" s="4"/>
      <c r="K118" s="4">
        <v>43153</v>
      </c>
      <c r="L118" s="47" t="s">
        <v>1961</v>
      </c>
      <c r="M118" s="67">
        <f>20000*N118</f>
        <v>20000</v>
      </c>
      <c r="N118" s="65">
        <v>1</v>
      </c>
      <c r="O118" s="59">
        <v>20000</v>
      </c>
      <c r="P118" s="4">
        <v>43161</v>
      </c>
      <c r="Q118" s="216" t="s">
        <v>1659</v>
      </c>
      <c r="R118" s="217"/>
      <c r="S118" s="186"/>
      <c r="T118" s="63" t="s">
        <v>926</v>
      </c>
      <c r="U118" s="63" t="s">
        <v>23</v>
      </c>
      <c r="V118" s="220"/>
      <c r="W118" s="221"/>
      <c r="X118" s="1"/>
      <c r="Y118" s="6"/>
      <c r="Z118" s="12"/>
      <c r="AA118" s="12"/>
      <c r="AB118" s="12"/>
      <c r="AC118" s="14"/>
      <c r="AD118" s="14"/>
      <c r="AE118" s="14"/>
    </row>
    <row r="119" spans="1:31" x14ac:dyDescent="0.2">
      <c r="A119" s="2" t="s">
        <v>1962</v>
      </c>
      <c r="B119" s="93" t="s">
        <v>1963</v>
      </c>
      <c r="C119" s="3" t="s">
        <v>73</v>
      </c>
      <c r="D119" s="45" t="s">
        <v>73</v>
      </c>
      <c r="E119" s="4" t="s">
        <v>86</v>
      </c>
      <c r="F119" s="47" t="s">
        <v>1964</v>
      </c>
      <c r="G119" s="4"/>
      <c r="H119" s="4"/>
      <c r="I119" s="4"/>
      <c r="J119" s="4"/>
      <c r="K119" s="4">
        <v>43182</v>
      </c>
      <c r="L119" s="47" t="s">
        <v>1965</v>
      </c>
      <c r="M119" s="67">
        <f>15000*N119</f>
        <v>45000</v>
      </c>
      <c r="N119" s="65">
        <v>3</v>
      </c>
      <c r="O119" s="59">
        <v>15000</v>
      </c>
      <c r="P119" s="4">
        <v>43206</v>
      </c>
      <c r="Q119" s="216" t="s">
        <v>1966</v>
      </c>
      <c r="R119" s="217"/>
      <c r="S119" s="186"/>
      <c r="T119" s="63" t="s">
        <v>926</v>
      </c>
      <c r="U119" s="63" t="s">
        <v>23</v>
      </c>
      <c r="V119" s="220"/>
      <c r="W119" s="221"/>
      <c r="X119" s="1"/>
      <c r="Y119" s="6"/>
      <c r="Z119" s="12"/>
      <c r="AA119" s="12"/>
      <c r="AB119" s="12"/>
      <c r="AC119" s="14"/>
      <c r="AD119" s="14"/>
      <c r="AE119" s="14"/>
    </row>
    <row r="120" spans="1:31" x14ac:dyDescent="0.2">
      <c r="A120" s="2" t="s">
        <v>1967</v>
      </c>
      <c r="B120" s="93" t="s">
        <v>1968</v>
      </c>
      <c r="C120" s="3" t="s">
        <v>73</v>
      </c>
      <c r="D120" s="45" t="s">
        <v>73</v>
      </c>
      <c r="E120" s="4" t="s">
        <v>86</v>
      </c>
      <c r="F120" s="5" t="s">
        <v>1969</v>
      </c>
      <c r="G120" s="5"/>
      <c r="H120" s="5"/>
      <c r="I120" s="5"/>
      <c r="J120" s="5"/>
      <c r="K120" s="5" t="s">
        <v>86</v>
      </c>
      <c r="L120" s="33" t="s">
        <v>86</v>
      </c>
      <c r="M120" s="67">
        <f>25000*N120</f>
        <v>50000</v>
      </c>
      <c r="N120" s="65">
        <v>2</v>
      </c>
      <c r="O120" s="59">
        <v>25000</v>
      </c>
      <c r="P120" s="4">
        <v>43109</v>
      </c>
      <c r="Q120" s="216" t="s">
        <v>1970</v>
      </c>
      <c r="R120" s="217"/>
      <c r="S120" s="186"/>
      <c r="T120" s="63" t="s">
        <v>931</v>
      </c>
      <c r="U120" s="63" t="s">
        <v>23</v>
      </c>
      <c r="V120" s="220"/>
      <c r="W120" s="221"/>
      <c r="X120" s="1"/>
      <c r="Y120" s="6"/>
      <c r="Z120" s="12"/>
      <c r="AA120" s="12"/>
      <c r="AB120" s="12"/>
      <c r="AC120" s="14"/>
      <c r="AD120" s="14"/>
      <c r="AE120" s="14"/>
    </row>
    <row r="121" spans="1:31" ht="22.5" x14ac:dyDescent="0.2">
      <c r="A121" s="2" t="s">
        <v>1971</v>
      </c>
      <c r="B121" s="93" t="s">
        <v>1972</v>
      </c>
      <c r="C121" s="3" t="s">
        <v>73</v>
      </c>
      <c r="D121" s="45" t="s">
        <v>73</v>
      </c>
      <c r="E121" s="4" t="s">
        <v>86</v>
      </c>
      <c r="F121" s="47" t="s">
        <v>1973</v>
      </c>
      <c r="G121" s="4"/>
      <c r="H121" s="4"/>
      <c r="I121" s="4"/>
      <c r="J121" s="4"/>
      <c r="K121" s="4">
        <v>43132</v>
      </c>
      <c r="L121" s="47" t="s">
        <v>1974</v>
      </c>
      <c r="M121" s="67">
        <f>20000*N121</f>
        <v>80000</v>
      </c>
      <c r="N121" s="65">
        <v>4</v>
      </c>
      <c r="O121" s="187">
        <v>20000</v>
      </c>
      <c r="P121" s="4">
        <v>43147</v>
      </c>
      <c r="Q121" s="216" t="s">
        <v>1975</v>
      </c>
      <c r="R121" s="217"/>
      <c r="S121" s="186"/>
      <c r="T121" s="63" t="s">
        <v>926</v>
      </c>
      <c r="U121" s="63" t="s">
        <v>22</v>
      </c>
      <c r="V121" s="220"/>
      <c r="W121" s="221"/>
      <c r="X121" s="1"/>
      <c r="Y121" s="6"/>
      <c r="Z121" s="12"/>
      <c r="AA121" s="12"/>
      <c r="AB121" s="12"/>
      <c r="AC121" s="14"/>
      <c r="AD121" s="14"/>
      <c r="AE121" s="14"/>
    </row>
    <row r="122" spans="1:31" x14ac:dyDescent="0.2">
      <c r="A122" s="2" t="s">
        <v>1976</v>
      </c>
      <c r="B122" s="93" t="s">
        <v>1977</v>
      </c>
      <c r="C122" s="3" t="s">
        <v>73</v>
      </c>
      <c r="D122" s="3" t="s">
        <v>73</v>
      </c>
      <c r="E122" s="4" t="s">
        <v>86</v>
      </c>
      <c r="F122" s="47" t="s">
        <v>1978</v>
      </c>
      <c r="G122" s="47"/>
      <c r="H122" s="4"/>
      <c r="I122" s="4"/>
      <c r="J122" s="4"/>
      <c r="K122" s="4">
        <v>43139</v>
      </c>
      <c r="L122" s="47" t="s">
        <v>1979</v>
      </c>
      <c r="M122" s="68">
        <v>22000</v>
      </c>
      <c r="N122" s="66">
        <v>1</v>
      </c>
      <c r="O122" s="58">
        <v>22000</v>
      </c>
      <c r="P122" s="4">
        <v>43140</v>
      </c>
      <c r="Q122" s="216" t="s">
        <v>1091</v>
      </c>
      <c r="R122" s="217"/>
      <c r="S122" s="188"/>
      <c r="T122" s="64" t="s">
        <v>926</v>
      </c>
      <c r="U122" s="64" t="s">
        <v>24</v>
      </c>
      <c r="V122" s="220"/>
      <c r="W122" s="221"/>
      <c r="X122" s="1"/>
      <c r="Y122" s="6"/>
      <c r="Z122" s="12"/>
      <c r="AA122" s="12"/>
      <c r="AB122" s="12"/>
      <c r="AC122" s="14"/>
      <c r="AD122" s="14"/>
      <c r="AE122" s="14"/>
    </row>
    <row r="123" spans="1:31" x14ac:dyDescent="0.2">
      <c r="A123" s="2" t="s">
        <v>1980</v>
      </c>
      <c r="B123" s="93" t="s">
        <v>1981</v>
      </c>
      <c r="C123" s="3" t="s">
        <v>73</v>
      </c>
      <c r="D123" s="45" t="s">
        <v>73</v>
      </c>
      <c r="E123" s="4" t="s">
        <v>86</v>
      </c>
      <c r="F123" s="47" t="s">
        <v>1982</v>
      </c>
      <c r="G123" s="47"/>
      <c r="H123" s="4"/>
      <c r="I123" s="4"/>
      <c r="J123" s="4"/>
      <c r="K123" s="4">
        <v>43188</v>
      </c>
      <c r="L123" s="47" t="s">
        <v>1983</v>
      </c>
      <c r="M123" s="68">
        <f>25000*N123</f>
        <v>50000</v>
      </c>
      <c r="N123" s="66">
        <v>2</v>
      </c>
      <c r="O123" s="58">
        <v>25000</v>
      </c>
      <c r="P123" s="4">
        <v>43206</v>
      </c>
      <c r="Q123" s="216" t="s">
        <v>1984</v>
      </c>
      <c r="R123" s="217"/>
      <c r="S123" s="188"/>
      <c r="T123" s="64" t="s">
        <v>926</v>
      </c>
      <c r="U123" s="64" t="s">
        <v>23</v>
      </c>
      <c r="V123" s="220"/>
      <c r="W123" s="221"/>
      <c r="X123" s="1"/>
      <c r="Y123" s="6"/>
      <c r="Z123" s="12"/>
      <c r="AA123" s="12"/>
      <c r="AB123" s="12"/>
      <c r="AC123" s="14"/>
      <c r="AD123" s="14"/>
      <c r="AE123" s="14"/>
    </row>
    <row r="124" spans="1:31" x14ac:dyDescent="0.2">
      <c r="A124" s="2" t="s">
        <v>1985</v>
      </c>
      <c r="B124" s="93" t="s">
        <v>1986</v>
      </c>
      <c r="C124" s="3" t="s">
        <v>73</v>
      </c>
      <c r="D124" s="45" t="s">
        <v>73</v>
      </c>
      <c r="E124" s="4" t="s">
        <v>86</v>
      </c>
      <c r="F124" s="49" t="s">
        <v>1987</v>
      </c>
      <c r="G124" s="47"/>
      <c r="H124" s="4"/>
      <c r="I124" s="4"/>
      <c r="J124" s="4"/>
      <c r="K124" s="4">
        <v>43160</v>
      </c>
      <c r="L124" s="47" t="s">
        <v>1988</v>
      </c>
      <c r="M124" s="67">
        <v>18642</v>
      </c>
      <c r="N124" s="66">
        <v>1</v>
      </c>
      <c r="O124" s="58">
        <v>18642</v>
      </c>
      <c r="P124" s="4">
        <v>43173</v>
      </c>
      <c r="Q124" s="216" t="s">
        <v>1989</v>
      </c>
      <c r="R124" s="217"/>
      <c r="S124" s="188"/>
      <c r="T124" s="64" t="s">
        <v>926</v>
      </c>
      <c r="U124" s="64" t="s">
        <v>23</v>
      </c>
      <c r="V124" s="220"/>
      <c r="W124" s="221"/>
      <c r="X124" s="1"/>
      <c r="Y124" s="6"/>
      <c r="Z124" s="12"/>
      <c r="AA124" s="12"/>
      <c r="AB124" s="12"/>
      <c r="AC124" s="14"/>
      <c r="AD124" s="14"/>
      <c r="AE124" s="14"/>
    </row>
    <row r="125" spans="1:31" x14ac:dyDescent="0.2">
      <c r="A125" s="2" t="s">
        <v>1990</v>
      </c>
      <c r="B125" s="93" t="s">
        <v>1991</v>
      </c>
      <c r="C125" s="3" t="s">
        <v>73</v>
      </c>
      <c r="D125" s="45" t="s">
        <v>73</v>
      </c>
      <c r="E125" s="4" t="s">
        <v>86</v>
      </c>
      <c r="F125" s="47" t="s">
        <v>1992</v>
      </c>
      <c r="G125" s="47" t="s">
        <v>1993</v>
      </c>
      <c r="H125" s="4"/>
      <c r="I125" s="4"/>
      <c r="J125" s="4"/>
      <c r="K125" s="4">
        <v>43161</v>
      </c>
      <c r="L125" s="47" t="s">
        <v>1994</v>
      </c>
      <c r="M125" s="68">
        <f>20000*N125</f>
        <v>20000</v>
      </c>
      <c r="N125" s="66">
        <v>1</v>
      </c>
      <c r="O125" s="58">
        <v>20000</v>
      </c>
      <c r="P125" s="4">
        <v>43165</v>
      </c>
      <c r="Q125" s="216" t="s">
        <v>1995</v>
      </c>
      <c r="R125" s="217"/>
      <c r="S125" s="188"/>
      <c r="T125" s="64" t="s">
        <v>926</v>
      </c>
      <c r="U125" s="64" t="s">
        <v>22</v>
      </c>
      <c r="V125" s="247" t="s">
        <v>1996</v>
      </c>
      <c r="W125" s="248"/>
      <c r="X125" s="1"/>
      <c r="Y125" s="6"/>
      <c r="Z125" s="12"/>
      <c r="AA125" s="12"/>
      <c r="AB125" s="12"/>
      <c r="AC125" s="14"/>
      <c r="AD125" s="14"/>
      <c r="AE125" s="14"/>
    </row>
    <row r="126" spans="1:31" ht="13.35" customHeight="1" x14ac:dyDescent="0.2">
      <c r="A126" s="2" t="s">
        <v>1997</v>
      </c>
      <c r="B126" s="93" t="s">
        <v>1998</v>
      </c>
      <c r="C126" s="3" t="s">
        <v>73</v>
      </c>
      <c r="D126" s="45" t="s">
        <v>73</v>
      </c>
      <c r="E126" s="4" t="s">
        <v>86</v>
      </c>
      <c r="F126" s="47" t="s">
        <v>1999</v>
      </c>
      <c r="G126" s="47"/>
      <c r="H126" s="4"/>
      <c r="I126" s="4"/>
      <c r="J126" s="4"/>
      <c r="K126" s="4">
        <v>43180</v>
      </c>
      <c r="L126" s="47" t="s">
        <v>2000</v>
      </c>
      <c r="M126" s="68">
        <f>18000*N126</f>
        <v>18000</v>
      </c>
      <c r="N126" s="66">
        <v>1</v>
      </c>
      <c r="O126" s="58"/>
      <c r="P126" s="4"/>
      <c r="Q126" s="216"/>
      <c r="R126" s="217"/>
      <c r="S126" s="188"/>
      <c r="T126" s="64" t="s">
        <v>926</v>
      </c>
      <c r="U126" s="64" t="s">
        <v>22</v>
      </c>
      <c r="V126" s="220"/>
      <c r="W126" s="221"/>
      <c r="X126" s="1"/>
      <c r="Y126" s="6"/>
      <c r="Z126" s="12"/>
      <c r="AA126" s="12"/>
      <c r="AB126" s="12"/>
      <c r="AC126" s="14"/>
      <c r="AD126" s="14"/>
      <c r="AE126" s="14"/>
    </row>
    <row r="127" spans="1:31" ht="13.35" customHeight="1" x14ac:dyDescent="0.2">
      <c r="A127" s="2" t="s">
        <v>2001</v>
      </c>
      <c r="B127" s="93" t="s">
        <v>2002</v>
      </c>
      <c r="C127" s="3" t="s">
        <v>73</v>
      </c>
      <c r="D127" s="45" t="s">
        <v>73</v>
      </c>
      <c r="E127" s="4" t="s">
        <v>86</v>
      </c>
      <c r="F127" s="47" t="s">
        <v>2003</v>
      </c>
      <c r="G127" s="47"/>
      <c r="H127" s="4"/>
      <c r="I127" s="4"/>
      <c r="J127" s="4"/>
      <c r="K127" s="4">
        <v>43167</v>
      </c>
      <c r="L127" s="47" t="s">
        <v>2004</v>
      </c>
      <c r="M127" s="68">
        <f>27500*N127</f>
        <v>27500</v>
      </c>
      <c r="N127" s="66">
        <v>1</v>
      </c>
      <c r="O127" s="58">
        <v>27500</v>
      </c>
      <c r="P127" s="4">
        <v>43219</v>
      </c>
      <c r="Q127" s="216" t="s">
        <v>2005</v>
      </c>
      <c r="R127" s="217"/>
      <c r="S127" s="188"/>
      <c r="T127" s="64" t="s">
        <v>931</v>
      </c>
      <c r="U127" s="64" t="s">
        <v>23</v>
      </c>
      <c r="V127" s="220"/>
      <c r="W127" s="221"/>
      <c r="X127" s="1"/>
      <c r="Y127" s="6"/>
      <c r="Z127" s="12"/>
      <c r="AA127" s="12"/>
      <c r="AB127" s="12"/>
      <c r="AC127" s="14"/>
      <c r="AD127" s="14"/>
      <c r="AE127" s="14"/>
    </row>
    <row r="128" spans="1:31" ht="13.35" customHeight="1" x14ac:dyDescent="0.2">
      <c r="A128" s="2" t="s">
        <v>2006</v>
      </c>
      <c r="B128" s="93" t="s">
        <v>2007</v>
      </c>
      <c r="C128" s="3" t="s">
        <v>73</v>
      </c>
      <c r="D128" s="45" t="s">
        <v>73</v>
      </c>
      <c r="E128" s="4" t="s">
        <v>86</v>
      </c>
      <c r="F128" s="47" t="s">
        <v>2008</v>
      </c>
      <c r="G128" s="47"/>
      <c r="H128" s="4"/>
      <c r="I128" s="4"/>
      <c r="J128" s="4"/>
      <c r="K128" s="4">
        <v>43272</v>
      </c>
      <c r="L128" s="47" t="s">
        <v>2009</v>
      </c>
      <c r="M128" s="68">
        <f>25000*N128</f>
        <v>25000</v>
      </c>
      <c r="N128" s="66">
        <v>1</v>
      </c>
      <c r="O128" s="58">
        <v>25000</v>
      </c>
      <c r="P128" s="4">
        <v>43278</v>
      </c>
      <c r="Q128" s="216" t="s">
        <v>2010</v>
      </c>
      <c r="R128" s="217"/>
      <c r="S128" s="188"/>
      <c r="T128" s="64" t="s">
        <v>926</v>
      </c>
      <c r="U128" s="64" t="s">
        <v>23</v>
      </c>
      <c r="V128" s="220"/>
      <c r="W128" s="221"/>
      <c r="X128" s="1"/>
      <c r="Y128" s="6"/>
      <c r="Z128" s="12"/>
      <c r="AA128" s="12"/>
      <c r="AB128" s="12"/>
      <c r="AC128" s="14"/>
      <c r="AD128" s="14"/>
      <c r="AE128" s="14"/>
    </row>
    <row r="129" spans="1:33" ht="13.35" customHeight="1" x14ac:dyDescent="0.2">
      <c r="A129" s="2" t="s">
        <v>2011</v>
      </c>
      <c r="B129" s="93" t="s">
        <v>2012</v>
      </c>
      <c r="C129" s="3" t="s">
        <v>73</v>
      </c>
      <c r="D129" s="45" t="s">
        <v>73</v>
      </c>
      <c r="E129" s="4" t="s">
        <v>86</v>
      </c>
      <c r="F129" s="47" t="s">
        <v>2013</v>
      </c>
      <c r="G129" s="47" t="s">
        <v>2014</v>
      </c>
      <c r="H129" s="4"/>
      <c r="I129" s="4"/>
      <c r="J129" s="4"/>
      <c r="K129" s="4">
        <v>43284</v>
      </c>
      <c r="L129" s="47" t="s">
        <v>2015</v>
      </c>
      <c r="M129" s="68">
        <f>6000*N129</f>
        <v>18000</v>
      </c>
      <c r="N129" s="66">
        <v>3</v>
      </c>
      <c r="O129" s="58">
        <v>13577</v>
      </c>
      <c r="P129" s="4">
        <v>43292</v>
      </c>
      <c r="Q129" s="216" t="s">
        <v>2016</v>
      </c>
      <c r="R129" s="217"/>
      <c r="S129" s="188"/>
      <c r="T129" s="64" t="s">
        <v>926</v>
      </c>
      <c r="U129" s="64" t="s">
        <v>23</v>
      </c>
      <c r="V129" s="220"/>
      <c r="W129" s="221"/>
      <c r="X129" s="1"/>
      <c r="Y129" s="6"/>
      <c r="Z129" s="12"/>
      <c r="AA129" s="12"/>
      <c r="AB129" s="12"/>
      <c r="AC129" s="14"/>
      <c r="AD129" s="14"/>
      <c r="AE129" s="14"/>
    </row>
    <row r="130" spans="1:33" ht="13.35" customHeight="1" x14ac:dyDescent="0.2">
      <c r="A130" s="2" t="s">
        <v>2017</v>
      </c>
      <c r="B130" s="93" t="s">
        <v>2018</v>
      </c>
      <c r="C130" s="3" t="s">
        <v>73</v>
      </c>
      <c r="D130" s="45" t="s">
        <v>73</v>
      </c>
      <c r="E130" s="4" t="s">
        <v>86</v>
      </c>
      <c r="F130" s="47" t="s">
        <v>2019</v>
      </c>
      <c r="G130" s="47"/>
      <c r="H130" s="4"/>
      <c r="I130" s="4"/>
      <c r="J130" s="4"/>
      <c r="K130" s="4">
        <v>43369</v>
      </c>
      <c r="L130" s="175" t="s">
        <v>2020</v>
      </c>
      <c r="M130" s="68">
        <f>38330+42070</f>
        <v>80400</v>
      </c>
      <c r="N130" s="66">
        <v>2</v>
      </c>
      <c r="O130" s="58">
        <v>39000</v>
      </c>
      <c r="P130" s="4">
        <v>43411</v>
      </c>
      <c r="Q130" s="216" t="s">
        <v>2021</v>
      </c>
      <c r="R130" s="217"/>
      <c r="S130" s="188"/>
      <c r="T130" s="64" t="s">
        <v>926</v>
      </c>
      <c r="U130" s="64" t="s">
        <v>22</v>
      </c>
      <c r="V130" s="220"/>
      <c r="W130" s="221"/>
      <c r="X130" s="1"/>
      <c r="Y130" s="6"/>
      <c r="Z130" s="12"/>
      <c r="AA130" s="12"/>
      <c r="AB130" s="12"/>
      <c r="AC130" s="14"/>
      <c r="AD130" s="14"/>
      <c r="AE130" s="14"/>
    </row>
    <row r="131" spans="1:33" ht="13.35" customHeight="1" x14ac:dyDescent="0.2">
      <c r="A131" s="2" t="s">
        <v>2022</v>
      </c>
      <c r="B131" s="93" t="s">
        <v>2023</v>
      </c>
      <c r="C131" s="3" t="s">
        <v>73</v>
      </c>
      <c r="D131" s="45" t="s">
        <v>73</v>
      </c>
      <c r="E131" s="4" t="s">
        <v>86</v>
      </c>
      <c r="F131" s="47" t="s">
        <v>2024</v>
      </c>
      <c r="G131" s="47"/>
      <c r="H131" s="4"/>
      <c r="I131" s="4"/>
      <c r="J131" s="4"/>
      <c r="K131" s="4">
        <v>43369</v>
      </c>
      <c r="L131" s="47" t="s">
        <v>2025</v>
      </c>
      <c r="M131" s="68">
        <f>26990+0</f>
        <v>26990</v>
      </c>
      <c r="N131" s="66">
        <v>2</v>
      </c>
      <c r="O131" s="58"/>
      <c r="P131" s="4"/>
      <c r="Q131" s="216"/>
      <c r="R131" s="217"/>
      <c r="S131" s="188"/>
      <c r="T131" s="64" t="s">
        <v>926</v>
      </c>
      <c r="U131" s="64" t="s">
        <v>22</v>
      </c>
      <c r="V131" s="220"/>
      <c r="W131" s="221"/>
      <c r="X131" s="1"/>
      <c r="Y131" s="6"/>
      <c r="Z131" s="12"/>
      <c r="AA131" s="12"/>
      <c r="AB131" s="12"/>
      <c r="AC131" s="14"/>
      <c r="AD131" s="14"/>
      <c r="AE131" s="14"/>
    </row>
    <row r="132" spans="1:33" ht="14.1" customHeight="1" thickBot="1" x14ac:dyDescent="0.25">
      <c r="A132" s="40"/>
      <c r="B132" s="137"/>
      <c r="C132" s="9"/>
      <c r="D132" s="77"/>
      <c r="E132" s="8"/>
      <c r="F132" s="8"/>
      <c r="G132" s="8"/>
      <c r="H132" s="8"/>
      <c r="I132" s="8"/>
      <c r="J132" s="8"/>
      <c r="K132" s="8"/>
      <c r="L132" s="8"/>
      <c r="M132" s="106"/>
      <c r="N132" s="9"/>
      <c r="O132" s="60"/>
      <c r="P132" s="8"/>
      <c r="Q132" s="224"/>
      <c r="R132" s="225"/>
      <c r="S132" s="40"/>
      <c r="T132" s="9"/>
      <c r="U132" s="9"/>
      <c r="V132" s="226"/>
      <c r="W132" s="227"/>
      <c r="X132" s="1"/>
      <c r="Y132" s="6"/>
      <c r="Z132" s="12"/>
      <c r="AA132" s="12"/>
      <c r="AB132" s="12"/>
      <c r="AC132" s="14"/>
      <c r="AD132" s="14"/>
      <c r="AE132" s="14"/>
    </row>
    <row r="133" spans="1:33" x14ac:dyDescent="0.2">
      <c r="A133" s="10"/>
      <c r="K133" s="11"/>
      <c r="L133" s="11"/>
      <c r="M133" s="1"/>
      <c r="N133" s="1"/>
      <c r="O133" s="13"/>
      <c r="W133" s="6"/>
      <c r="X133" s="1"/>
      <c r="Y133" s="6"/>
      <c r="Z133" s="12"/>
      <c r="AA133" s="12"/>
      <c r="AB133" s="12"/>
      <c r="AC133" s="14"/>
      <c r="AD133" s="14"/>
      <c r="AE133" s="14"/>
    </row>
    <row r="134" spans="1:33" x14ac:dyDescent="0.2">
      <c r="A134" s="10"/>
      <c r="C134" s="11"/>
      <c r="E134" s="11"/>
      <c r="F134" s="11"/>
      <c r="G134" s="11"/>
      <c r="H134" s="11"/>
      <c r="I134" s="11"/>
      <c r="L134" s="28" t="s">
        <v>25</v>
      </c>
      <c r="M134" s="29">
        <f>SUM(M113:M132)</f>
        <v>664532</v>
      </c>
      <c r="N134" s="11"/>
      <c r="O134" s="24" t="s">
        <v>46</v>
      </c>
      <c r="P134" s="25">
        <f>SUM(O113:O132)</f>
        <v>354719</v>
      </c>
      <c r="V134" s="1"/>
      <c r="X134" s="6"/>
      <c r="Z134" s="6"/>
      <c r="AA134" s="12"/>
      <c r="AB134" s="12"/>
      <c r="AC134" s="12"/>
      <c r="AD134" s="14"/>
      <c r="AE134" s="14"/>
      <c r="AF134" s="14"/>
    </row>
    <row r="135" spans="1:33" ht="12.75" x14ac:dyDescent="0.2">
      <c r="A135" s="38" t="s">
        <v>62</v>
      </c>
      <c r="K135" s="11"/>
      <c r="L135" s="11"/>
      <c r="M135" s="11"/>
      <c r="N135" s="11"/>
      <c r="O135" s="11"/>
      <c r="P135" s="71" t="s">
        <v>68</v>
      </c>
      <c r="Q135" s="71" t="s">
        <v>69</v>
      </c>
      <c r="V135" s="1"/>
      <c r="W135" s="1"/>
      <c r="Y135" s="6"/>
      <c r="AA135" s="6"/>
      <c r="AB135" s="12"/>
      <c r="AC135" s="12"/>
      <c r="AD135" s="12"/>
      <c r="AE135" s="14"/>
      <c r="AF135" s="14"/>
      <c r="AG135" s="14"/>
    </row>
    <row r="136" spans="1:33" x14ac:dyDescent="0.2">
      <c r="A136" s="10"/>
      <c r="L136" s="28"/>
      <c r="M136" s="28"/>
      <c r="N136" s="28"/>
      <c r="O136" s="28" t="s">
        <v>22</v>
      </c>
      <c r="P136" s="30">
        <f>SUMIF(U111:U132,"GOODS",$O$111:$O$132)</f>
        <v>114000</v>
      </c>
      <c r="Q136" s="73">
        <f>COUNTIFS(U112:U132,"GOODS",$O$112:$O$132,"&gt;=1")</f>
        <v>5</v>
      </c>
      <c r="V136" s="1"/>
      <c r="W136" s="1"/>
      <c r="Y136" s="6"/>
      <c r="AA136" s="6"/>
      <c r="AB136" s="12"/>
      <c r="AC136" s="12"/>
      <c r="AD136" s="12"/>
      <c r="AE136" s="14"/>
      <c r="AF136" s="14"/>
      <c r="AG136" s="14"/>
    </row>
    <row r="137" spans="1:33" x14ac:dyDescent="0.2">
      <c r="A137" s="10"/>
      <c r="L137" s="28"/>
      <c r="M137" s="28"/>
      <c r="N137" s="28"/>
      <c r="O137" s="28" t="s">
        <v>23</v>
      </c>
      <c r="P137" s="30">
        <f>SUMIF(U111:U132,"SERVICES",$O$111:$O$132)</f>
        <v>218719</v>
      </c>
      <c r="Q137" s="73">
        <f>COUNTIFS(U112:U132,"SERVICES",$O$112:$O$132,"&gt;=1")</f>
        <v>10</v>
      </c>
      <c r="V137" s="1"/>
      <c r="W137" s="1"/>
      <c r="Y137" s="6"/>
      <c r="AA137" s="6"/>
      <c r="AB137" s="12"/>
      <c r="AC137" s="12"/>
      <c r="AD137" s="12"/>
      <c r="AE137" s="14"/>
      <c r="AF137" s="14"/>
      <c r="AG137" s="14"/>
    </row>
    <row r="138" spans="1:33" x14ac:dyDescent="0.2">
      <c r="A138" s="10"/>
      <c r="L138" s="28"/>
      <c r="M138" s="28"/>
      <c r="N138" s="28"/>
      <c r="O138" s="28" t="s">
        <v>24</v>
      </c>
      <c r="P138" s="30">
        <f>SUMIF(U111:U132,"CONSTRUCTION",$O$111:$O$132)</f>
        <v>22000</v>
      </c>
      <c r="Q138" s="73">
        <f>COUNTIFS(U112:U132,"CONSTRUCTION",$O$112:$O$132,"&gt;=1")</f>
        <v>1</v>
      </c>
      <c r="V138" s="1"/>
      <c r="W138" s="1"/>
      <c r="Y138" s="6"/>
      <c r="AA138" s="6"/>
      <c r="AB138" s="12"/>
      <c r="AC138" s="12"/>
      <c r="AD138" s="12"/>
      <c r="AE138" s="14"/>
      <c r="AF138" s="14"/>
      <c r="AG138" s="14"/>
    </row>
    <row r="139" spans="1:33" x14ac:dyDescent="0.2">
      <c r="A139" s="10"/>
      <c r="B139" s="14"/>
      <c r="C139" s="14"/>
      <c r="D139" s="46"/>
      <c r="L139" s="1"/>
      <c r="M139" s="1"/>
      <c r="N139" s="1"/>
      <c r="P139" s="74">
        <f>SUM(P136:P138)</f>
        <v>354719</v>
      </c>
      <c r="Q139" s="72">
        <f>SUM(Q136:Q138)</f>
        <v>16</v>
      </c>
      <c r="Y139" s="6"/>
      <c r="AA139" s="6"/>
      <c r="AB139" s="12"/>
      <c r="AC139" s="12"/>
      <c r="AD139" s="12"/>
      <c r="AE139" s="14"/>
      <c r="AF139" s="14"/>
      <c r="AG139" s="14"/>
    </row>
    <row r="140" spans="1:33" ht="15.75" x14ac:dyDescent="0.25">
      <c r="A140" s="88" t="s">
        <v>31</v>
      </c>
      <c r="B140" s="88"/>
      <c r="L140" s="1"/>
      <c r="M140" s="1"/>
      <c r="N140" s="1"/>
      <c r="V140" s="1"/>
      <c r="W140" s="1"/>
      <c r="X140" s="1"/>
      <c r="Y140" s="12"/>
      <c r="Z140" s="12"/>
      <c r="AA140" s="14"/>
      <c r="AB140" s="14"/>
      <c r="AC140" s="14"/>
    </row>
    <row r="141" spans="1:33" ht="15.75" x14ac:dyDescent="0.25">
      <c r="A141" s="88" t="s">
        <v>1493</v>
      </c>
      <c r="B141" s="88"/>
      <c r="L141" s="1"/>
      <c r="M141" s="1"/>
      <c r="N141" s="1"/>
      <c r="V141" s="1"/>
      <c r="W141" s="1"/>
      <c r="X141" s="1"/>
      <c r="Y141" s="12"/>
      <c r="Z141" s="14"/>
      <c r="AA141" s="14"/>
      <c r="AB141" s="14"/>
    </row>
    <row r="142" spans="1:33" ht="12" thickBot="1" x14ac:dyDescent="0.25">
      <c r="L142" s="1"/>
      <c r="N142" s="1"/>
      <c r="T142" s="14"/>
      <c r="U142" s="14"/>
      <c r="V142" s="23"/>
      <c r="W142" s="1"/>
      <c r="X142" s="1"/>
    </row>
    <row r="143" spans="1:33" ht="11.85" customHeight="1" x14ac:dyDescent="0.2">
      <c r="A143" s="17"/>
      <c r="B143" s="17"/>
      <c r="C143" s="17"/>
      <c r="D143" s="41"/>
      <c r="E143" s="17"/>
      <c r="F143" s="17"/>
      <c r="G143" s="17"/>
      <c r="H143" s="17"/>
      <c r="I143" s="17"/>
      <c r="J143" s="18"/>
      <c r="K143" s="18" t="s">
        <v>10</v>
      </c>
      <c r="L143" s="18" t="s">
        <v>52</v>
      </c>
      <c r="M143" s="18" t="s">
        <v>47</v>
      </c>
      <c r="N143" s="18" t="s">
        <v>37</v>
      </c>
      <c r="O143" s="17"/>
      <c r="P143" s="17"/>
      <c r="Q143" s="210"/>
      <c r="R143" s="211"/>
      <c r="S143" s="132"/>
      <c r="T143" s="18"/>
      <c r="U143" s="18"/>
      <c r="V143" s="210"/>
      <c r="W143" s="211"/>
      <c r="X143" s="1"/>
    </row>
    <row r="144" spans="1:33" ht="11.85" customHeight="1" x14ac:dyDescent="0.2">
      <c r="A144" s="19" t="s">
        <v>17</v>
      </c>
      <c r="B144" s="19" t="s">
        <v>1</v>
      </c>
      <c r="C144" s="19" t="s">
        <v>17</v>
      </c>
      <c r="D144" s="42" t="s">
        <v>39</v>
      </c>
      <c r="E144" s="19" t="s">
        <v>2</v>
      </c>
      <c r="F144" s="19" t="s">
        <v>17</v>
      </c>
      <c r="G144" s="19" t="s">
        <v>41</v>
      </c>
      <c r="H144" s="19" t="s">
        <v>41</v>
      </c>
      <c r="I144" s="19" t="s">
        <v>41</v>
      </c>
      <c r="J144" s="19" t="s">
        <v>41</v>
      </c>
      <c r="K144" s="19" t="s">
        <v>3</v>
      </c>
      <c r="L144" s="19" t="s">
        <v>49</v>
      </c>
      <c r="M144" s="19" t="s">
        <v>49</v>
      </c>
      <c r="N144" s="19" t="s">
        <v>38</v>
      </c>
      <c r="O144" s="19" t="s">
        <v>4</v>
      </c>
      <c r="P144" s="19" t="s">
        <v>4</v>
      </c>
      <c r="Q144" s="212" t="s">
        <v>14</v>
      </c>
      <c r="R144" s="213"/>
      <c r="S144" s="133" t="s">
        <v>15</v>
      </c>
      <c r="T144" s="19" t="s">
        <v>21</v>
      </c>
      <c r="U144" s="19" t="s">
        <v>26</v>
      </c>
      <c r="V144" s="212" t="s">
        <v>65</v>
      </c>
      <c r="W144" s="213"/>
      <c r="X144" s="1"/>
    </row>
    <row r="145" spans="1:24" ht="11.85" customHeight="1" x14ac:dyDescent="0.2">
      <c r="A145" s="19" t="s">
        <v>5</v>
      </c>
      <c r="B145" s="19"/>
      <c r="C145" s="19" t="s">
        <v>39</v>
      </c>
      <c r="D145" s="42" t="s">
        <v>40</v>
      </c>
      <c r="E145" s="19" t="s">
        <v>7</v>
      </c>
      <c r="F145" s="19" t="s">
        <v>64</v>
      </c>
      <c r="G145" s="19" t="s">
        <v>42</v>
      </c>
      <c r="H145" s="19" t="s">
        <v>43</v>
      </c>
      <c r="I145" s="19" t="s">
        <v>44</v>
      </c>
      <c r="J145" s="19" t="s">
        <v>45</v>
      </c>
      <c r="K145" s="19" t="s">
        <v>6</v>
      </c>
      <c r="L145" s="19" t="s">
        <v>13</v>
      </c>
      <c r="M145" s="19" t="s">
        <v>13</v>
      </c>
      <c r="N145" s="19" t="s">
        <v>4</v>
      </c>
      <c r="O145" s="19" t="s">
        <v>9</v>
      </c>
      <c r="P145" s="19" t="s">
        <v>6</v>
      </c>
      <c r="Q145" s="212"/>
      <c r="R145" s="213"/>
      <c r="S145" s="133"/>
      <c r="T145" s="19" t="s">
        <v>28</v>
      </c>
      <c r="U145" s="19" t="s">
        <v>27</v>
      </c>
      <c r="V145" s="212"/>
      <c r="W145" s="213"/>
      <c r="X145" s="1"/>
    </row>
    <row r="146" spans="1:24" ht="2.25" customHeight="1" thickBot="1" x14ac:dyDescent="0.25">
      <c r="A146" s="21"/>
      <c r="B146" s="20"/>
      <c r="C146" s="22"/>
      <c r="D146" s="43"/>
      <c r="E146" s="20"/>
      <c r="F146" s="22"/>
      <c r="G146" s="22"/>
      <c r="H146" s="22"/>
      <c r="I146" s="22"/>
      <c r="J146" s="22"/>
      <c r="K146" s="20"/>
      <c r="L146" s="20"/>
      <c r="M146" s="20"/>
      <c r="N146" s="20"/>
      <c r="O146" s="20"/>
      <c r="P146" s="20"/>
      <c r="Q146" s="214"/>
      <c r="R146" s="215"/>
      <c r="S146" s="134"/>
      <c r="T146" s="20"/>
      <c r="U146" s="20"/>
      <c r="V146" s="214"/>
      <c r="W146" s="215"/>
      <c r="X146" s="1"/>
    </row>
    <row r="147" spans="1:24" ht="22.35" customHeight="1" x14ac:dyDescent="0.2">
      <c r="A147" s="3" t="s">
        <v>2026</v>
      </c>
      <c r="B147" s="93" t="s">
        <v>2027</v>
      </c>
      <c r="C147" s="5" t="s">
        <v>73</v>
      </c>
      <c r="D147" s="44" t="s">
        <v>73</v>
      </c>
      <c r="E147" s="5" t="s">
        <v>86</v>
      </c>
      <c r="F147" s="5" t="s">
        <v>86</v>
      </c>
      <c r="G147" s="5"/>
      <c r="H147" s="5"/>
      <c r="I147" s="5"/>
      <c r="J147" s="5"/>
      <c r="K147" s="5" t="s">
        <v>86</v>
      </c>
      <c r="L147" s="105">
        <v>90000</v>
      </c>
      <c r="M147" s="3">
        <v>1</v>
      </c>
      <c r="N147" s="182" t="s">
        <v>2028</v>
      </c>
      <c r="O147" s="56">
        <v>90000</v>
      </c>
      <c r="P147" s="4">
        <v>43052</v>
      </c>
      <c r="Q147" s="228" t="s">
        <v>2029</v>
      </c>
      <c r="R147" s="229"/>
      <c r="S147" s="131"/>
      <c r="T147" s="110" t="s">
        <v>931</v>
      </c>
      <c r="U147" s="110" t="s">
        <v>23</v>
      </c>
      <c r="V147" s="245" t="s">
        <v>2030</v>
      </c>
      <c r="W147" s="246"/>
      <c r="X147" s="1"/>
    </row>
    <row r="148" spans="1:24" x14ac:dyDescent="0.2">
      <c r="A148" s="112" t="s">
        <v>2031</v>
      </c>
      <c r="B148" s="93" t="s">
        <v>2032</v>
      </c>
      <c r="C148" s="5" t="s">
        <v>73</v>
      </c>
      <c r="D148" s="44" t="s">
        <v>73</v>
      </c>
      <c r="E148" s="5" t="s">
        <v>86</v>
      </c>
      <c r="F148" s="49" t="s">
        <v>2033</v>
      </c>
      <c r="G148" s="5"/>
      <c r="H148" s="5"/>
      <c r="I148" s="5"/>
      <c r="J148" s="5"/>
      <c r="K148" s="5">
        <v>43104</v>
      </c>
      <c r="L148" s="124" t="s">
        <v>73</v>
      </c>
      <c r="M148" s="3">
        <v>1</v>
      </c>
      <c r="N148" s="3" t="s">
        <v>86</v>
      </c>
      <c r="O148" s="58">
        <v>6374</v>
      </c>
      <c r="P148" s="4">
        <v>43399</v>
      </c>
      <c r="Q148" s="222" t="s">
        <v>2034</v>
      </c>
      <c r="R148" s="223"/>
      <c r="S148" s="131"/>
      <c r="T148" s="110" t="s">
        <v>931</v>
      </c>
      <c r="U148" s="110" t="s">
        <v>22</v>
      </c>
      <c r="V148" s="241"/>
      <c r="W148" s="242"/>
      <c r="X148" s="1"/>
    </row>
    <row r="149" spans="1:24" x14ac:dyDescent="0.2">
      <c r="A149" s="3" t="s">
        <v>2035</v>
      </c>
      <c r="B149" s="93" t="s">
        <v>2036</v>
      </c>
      <c r="C149" s="5" t="s">
        <v>73</v>
      </c>
      <c r="D149" s="44" t="s">
        <v>73</v>
      </c>
      <c r="E149" s="5" t="s">
        <v>2037</v>
      </c>
      <c r="F149" s="49" t="s">
        <v>2038</v>
      </c>
      <c r="G149" s="49" t="s">
        <v>2039</v>
      </c>
      <c r="H149" s="49" t="s">
        <v>2040</v>
      </c>
      <c r="I149" s="5"/>
      <c r="J149" s="5"/>
      <c r="K149" s="5">
        <v>43326</v>
      </c>
      <c r="L149" s="124" t="s">
        <v>73</v>
      </c>
      <c r="M149" s="3">
        <v>7</v>
      </c>
      <c r="N149" s="3" t="s">
        <v>86</v>
      </c>
      <c r="O149" s="58">
        <v>1</v>
      </c>
      <c r="P149" s="4" t="s">
        <v>86</v>
      </c>
      <c r="Q149" s="222" t="s">
        <v>2041</v>
      </c>
      <c r="R149" s="223"/>
      <c r="S149" s="131" t="s">
        <v>2042</v>
      </c>
      <c r="T149" s="110" t="s">
        <v>926</v>
      </c>
      <c r="U149" s="110" t="s">
        <v>23</v>
      </c>
      <c r="V149" s="241"/>
      <c r="W149" s="242"/>
      <c r="X149" s="1"/>
    </row>
    <row r="150" spans="1:24" ht="12" thickBot="1" x14ac:dyDescent="0.25">
      <c r="A150" s="9"/>
      <c r="B150" s="121"/>
      <c r="C150" s="9"/>
      <c r="D150" s="7"/>
      <c r="E150" s="9"/>
      <c r="F150" s="9"/>
      <c r="G150" s="9"/>
      <c r="H150" s="9"/>
      <c r="I150" s="9"/>
      <c r="J150" s="9"/>
      <c r="K150" s="9"/>
      <c r="L150" s="106"/>
      <c r="M150" s="9"/>
      <c r="N150" s="9"/>
      <c r="O150" s="60"/>
      <c r="P150" s="8"/>
      <c r="Q150" s="230"/>
      <c r="R150" s="231"/>
      <c r="S150" s="130"/>
      <c r="T150" s="9"/>
      <c r="U150" s="9"/>
      <c r="V150" s="243"/>
      <c r="W150" s="244"/>
      <c r="X150" s="1"/>
    </row>
    <row r="151" spans="1:24" x14ac:dyDescent="0.2">
      <c r="L151" s="1"/>
      <c r="M151" s="1"/>
      <c r="N151" s="1"/>
      <c r="V151" s="1"/>
      <c r="W151" s="1"/>
      <c r="X151" s="1"/>
    </row>
    <row r="152" spans="1:24" x14ac:dyDescent="0.2">
      <c r="K152" s="28" t="s">
        <v>35</v>
      </c>
      <c r="L152" s="29">
        <f>SUM(L147:L150)</f>
        <v>90000</v>
      </c>
      <c r="M152" s="1"/>
      <c r="N152" s="24" t="s">
        <v>46</v>
      </c>
      <c r="O152" s="25">
        <f>SUM(O147:O150)</f>
        <v>96375</v>
      </c>
      <c r="V152" s="1"/>
      <c r="W152" s="1"/>
      <c r="X152" s="1"/>
    </row>
    <row r="153" spans="1:24" ht="12.75" x14ac:dyDescent="0.2">
      <c r="A153" s="37" t="s">
        <v>62</v>
      </c>
      <c r="D153" s="10" t="s">
        <v>8</v>
      </c>
      <c r="K153" s="11"/>
      <c r="L153" s="1"/>
      <c r="M153" s="1"/>
      <c r="N153" s="1"/>
      <c r="O153" s="71" t="s">
        <v>68</v>
      </c>
      <c r="P153" s="71" t="s">
        <v>69</v>
      </c>
      <c r="V153" s="1"/>
      <c r="W153" s="1"/>
      <c r="X153" s="1"/>
    </row>
    <row r="154" spans="1:24" x14ac:dyDescent="0.2">
      <c r="K154" s="28"/>
      <c r="L154" s="1"/>
      <c r="M154" s="1"/>
      <c r="N154" s="28" t="s">
        <v>22</v>
      </c>
      <c r="O154" s="30">
        <f>SUMIF(U147:U150,"GOODS",$O$147:$O$150)</f>
        <v>6374</v>
      </c>
      <c r="P154" s="73">
        <f>COUNTIFS(U146:U150,"GOODS",$O$146:$O$150,"&gt;=1")</f>
        <v>1</v>
      </c>
      <c r="V154" s="1"/>
      <c r="W154" s="1"/>
      <c r="X154" s="1"/>
    </row>
    <row r="155" spans="1:24" x14ac:dyDescent="0.2">
      <c r="K155" s="28"/>
      <c r="L155" s="1"/>
      <c r="M155" s="1"/>
      <c r="N155" s="28" t="s">
        <v>23</v>
      </c>
      <c r="O155" s="30">
        <f>SUMIF(U147:U150,"SERVICES",$O$147:$O$150)</f>
        <v>90001</v>
      </c>
      <c r="P155" s="73">
        <f>COUNTIFS(U146:U150,"SERVICES",$O$146:$O$150,"&gt;=1")</f>
        <v>2</v>
      </c>
      <c r="V155" s="1"/>
      <c r="W155" s="1"/>
      <c r="X155" s="1"/>
    </row>
    <row r="156" spans="1:24" x14ac:dyDescent="0.2">
      <c r="G156" s="28"/>
      <c r="H156" s="28"/>
      <c r="I156" s="28"/>
      <c r="J156" s="28"/>
      <c r="K156" s="30"/>
      <c r="L156" s="1"/>
      <c r="M156" s="1"/>
      <c r="N156" s="28" t="s">
        <v>24</v>
      </c>
      <c r="O156" s="30">
        <f>SUMIF(U148:U151,"CONSTRUCTION",$O$147:$O$150)</f>
        <v>0</v>
      </c>
      <c r="P156" s="73">
        <f>COUNTIFS(U146:U150,"CONSTRUCTION",$O$146:$O$150,"&gt;=1")</f>
        <v>0</v>
      </c>
      <c r="V156" s="1"/>
      <c r="W156" s="1"/>
      <c r="X156" s="1"/>
    </row>
    <row r="157" spans="1:24" x14ac:dyDescent="0.2">
      <c r="A157" s="10"/>
      <c r="B157" s="14"/>
      <c r="K157" s="11"/>
      <c r="N157" s="6"/>
      <c r="O157" s="74">
        <f>SUM(O154:O156)</f>
        <v>96375</v>
      </c>
      <c r="P157" s="72">
        <f>SUM(P154:P156)</f>
        <v>3</v>
      </c>
      <c r="Q157" s="12"/>
      <c r="R157" s="12"/>
      <c r="S157" s="12"/>
      <c r="T157" s="12"/>
      <c r="U157" s="14"/>
      <c r="X157" s="1"/>
    </row>
    <row r="158" spans="1:24" ht="15.75" x14ac:dyDescent="0.25">
      <c r="A158" s="88" t="s">
        <v>59</v>
      </c>
      <c r="B158" s="88"/>
      <c r="L158" s="1"/>
      <c r="M158" s="1"/>
      <c r="N158" s="1"/>
      <c r="V158" s="1"/>
      <c r="W158" s="1"/>
      <c r="X158" s="1"/>
    </row>
    <row r="159" spans="1:24" ht="15.75" x14ac:dyDescent="0.25">
      <c r="A159" s="88" t="s">
        <v>1493</v>
      </c>
      <c r="B159" s="88"/>
      <c r="L159" s="1"/>
      <c r="M159" s="1"/>
      <c r="N159" s="1"/>
      <c r="V159" s="1"/>
      <c r="W159" s="1"/>
      <c r="X159" s="1"/>
    </row>
    <row r="160" spans="1:24" ht="12" thickBot="1" x14ac:dyDescent="0.25">
      <c r="S160" s="14"/>
      <c r="T160" s="14"/>
      <c r="U160" s="23"/>
      <c r="V160" s="1"/>
      <c r="W160" s="1"/>
      <c r="X160" s="1"/>
    </row>
    <row r="161" spans="1:34" ht="11.85" customHeight="1" x14ac:dyDescent="0.2">
      <c r="A161" s="17"/>
      <c r="B161" s="17"/>
      <c r="C161" s="17"/>
      <c r="D161" s="41"/>
      <c r="E161" s="17"/>
      <c r="F161" s="17"/>
      <c r="G161" s="17"/>
      <c r="H161" s="17"/>
      <c r="I161" s="17"/>
      <c r="J161" s="18"/>
      <c r="K161" s="18" t="s">
        <v>10</v>
      </c>
      <c r="L161" s="18"/>
      <c r="M161" s="18" t="s">
        <v>52</v>
      </c>
      <c r="N161" s="18" t="s">
        <v>47</v>
      </c>
      <c r="O161" s="18" t="s">
        <v>37</v>
      </c>
      <c r="P161" s="17"/>
      <c r="Q161" s="17"/>
      <c r="R161" s="18"/>
      <c r="S161" s="18"/>
      <c r="T161" s="18"/>
      <c r="U161" s="18"/>
      <c r="V161" s="1"/>
      <c r="W161" s="1"/>
      <c r="X161" s="1"/>
    </row>
    <row r="162" spans="1:34" ht="11.85" customHeight="1" x14ac:dyDescent="0.2">
      <c r="A162" s="19" t="s">
        <v>11</v>
      </c>
      <c r="B162" s="19" t="s">
        <v>1</v>
      </c>
      <c r="C162" s="19" t="s">
        <v>11</v>
      </c>
      <c r="D162" s="42" t="s">
        <v>39</v>
      </c>
      <c r="E162" s="19" t="s">
        <v>2</v>
      </c>
      <c r="F162" s="19" t="s">
        <v>11</v>
      </c>
      <c r="G162" s="19" t="s">
        <v>41</v>
      </c>
      <c r="H162" s="19" t="s">
        <v>41</v>
      </c>
      <c r="I162" s="19" t="s">
        <v>41</v>
      </c>
      <c r="J162" s="19" t="s">
        <v>41</v>
      </c>
      <c r="K162" s="19" t="s">
        <v>3</v>
      </c>
      <c r="L162" s="19" t="s">
        <v>51</v>
      </c>
      <c r="M162" s="19" t="s">
        <v>49</v>
      </c>
      <c r="N162" s="19" t="s">
        <v>49</v>
      </c>
      <c r="O162" s="19" t="s">
        <v>38</v>
      </c>
      <c r="P162" s="19" t="s">
        <v>4</v>
      </c>
      <c r="Q162" s="19" t="s">
        <v>4</v>
      </c>
      <c r="R162" s="19" t="s">
        <v>14</v>
      </c>
      <c r="S162" s="19" t="s">
        <v>21</v>
      </c>
      <c r="T162" s="19" t="s">
        <v>26</v>
      </c>
      <c r="U162" s="19" t="s">
        <v>65</v>
      </c>
      <c r="V162" s="1"/>
      <c r="W162" s="1"/>
      <c r="X162" s="1"/>
    </row>
    <row r="163" spans="1:34" ht="11.85" customHeight="1" x14ac:dyDescent="0.2">
      <c r="A163" s="19" t="s">
        <v>5</v>
      </c>
      <c r="B163" s="19"/>
      <c r="C163" s="19" t="s">
        <v>39</v>
      </c>
      <c r="D163" s="42" t="s">
        <v>40</v>
      </c>
      <c r="E163" s="19" t="s">
        <v>7</v>
      </c>
      <c r="F163" s="19" t="s">
        <v>64</v>
      </c>
      <c r="G163" s="19" t="s">
        <v>42</v>
      </c>
      <c r="H163" s="19" t="s">
        <v>43</v>
      </c>
      <c r="I163" s="19" t="s">
        <v>44</v>
      </c>
      <c r="J163" s="19" t="s">
        <v>45</v>
      </c>
      <c r="K163" s="19" t="s">
        <v>6</v>
      </c>
      <c r="L163" s="19" t="s">
        <v>36</v>
      </c>
      <c r="M163" s="19" t="s">
        <v>13</v>
      </c>
      <c r="N163" s="19" t="s">
        <v>13</v>
      </c>
      <c r="O163" s="19" t="s">
        <v>4</v>
      </c>
      <c r="P163" s="19" t="s">
        <v>9</v>
      </c>
      <c r="Q163" s="19" t="s">
        <v>6</v>
      </c>
      <c r="R163" s="19"/>
      <c r="S163" s="19" t="s">
        <v>28</v>
      </c>
      <c r="T163" s="19" t="s">
        <v>27</v>
      </c>
      <c r="U163" s="19"/>
      <c r="V163" s="1"/>
      <c r="W163" s="1"/>
      <c r="X163" s="1"/>
    </row>
    <row r="164" spans="1:34" ht="2.25" customHeight="1" thickBot="1" x14ac:dyDescent="0.25">
      <c r="A164" s="21"/>
      <c r="B164" s="20"/>
      <c r="C164" s="22"/>
      <c r="D164" s="43"/>
      <c r="E164" s="20"/>
      <c r="F164" s="22"/>
      <c r="G164" s="22"/>
      <c r="H164" s="22"/>
      <c r="I164" s="22"/>
      <c r="J164" s="22"/>
      <c r="K164" s="20"/>
      <c r="L164" s="20"/>
      <c r="M164" s="20"/>
      <c r="N164" s="20"/>
      <c r="O164" s="20"/>
      <c r="P164" s="20"/>
      <c r="Q164" s="20"/>
      <c r="R164" s="20"/>
      <c r="S164" s="20"/>
      <c r="T164" s="20"/>
      <c r="U164" s="20"/>
      <c r="V164" s="1"/>
      <c r="W164" s="1"/>
      <c r="X164" s="1"/>
    </row>
    <row r="165" spans="1:34" x14ac:dyDescent="0.2">
      <c r="A165" s="3" t="s">
        <v>2043</v>
      </c>
      <c r="B165" s="93" t="s">
        <v>2044</v>
      </c>
      <c r="C165" s="5">
        <v>43167</v>
      </c>
      <c r="D165" s="48" t="s">
        <v>2045</v>
      </c>
      <c r="E165" s="4" t="s">
        <v>2046</v>
      </c>
      <c r="F165" s="47" t="s">
        <v>2047</v>
      </c>
      <c r="G165" s="47" t="s">
        <v>2048</v>
      </c>
      <c r="H165" s="47" t="s">
        <v>2049</v>
      </c>
      <c r="I165" s="4"/>
      <c r="J165" s="4"/>
      <c r="K165" s="5">
        <v>43193</v>
      </c>
      <c r="L165" s="51" t="s">
        <v>2050</v>
      </c>
      <c r="M165" s="120">
        <f>460896+587000+547175</f>
        <v>1595071</v>
      </c>
      <c r="N165" s="3">
        <v>3</v>
      </c>
      <c r="O165" s="183" t="s">
        <v>2051</v>
      </c>
      <c r="P165" s="61">
        <v>460896</v>
      </c>
      <c r="Q165" s="4">
        <v>43220</v>
      </c>
      <c r="R165" s="91" t="s">
        <v>2052</v>
      </c>
      <c r="S165" s="110" t="s">
        <v>926</v>
      </c>
      <c r="T165" s="110" t="s">
        <v>24</v>
      </c>
      <c r="U165" s="55"/>
      <c r="W165" s="6"/>
      <c r="X165" s="1"/>
      <c r="Y165" s="6"/>
      <c r="Z165" s="12"/>
      <c r="AA165" s="12"/>
      <c r="AB165" s="12"/>
      <c r="AC165" s="14"/>
      <c r="AD165" s="14"/>
      <c r="AE165" s="14"/>
    </row>
    <row r="166" spans="1:34" x14ac:dyDescent="0.2">
      <c r="A166" s="3" t="s">
        <v>2053</v>
      </c>
      <c r="B166" s="93" t="s">
        <v>2054</v>
      </c>
      <c r="C166" s="96">
        <v>43312</v>
      </c>
      <c r="D166" s="48" t="s">
        <v>2055</v>
      </c>
      <c r="E166" s="3" t="s">
        <v>2056</v>
      </c>
      <c r="F166" s="50" t="s">
        <v>2057</v>
      </c>
      <c r="G166" s="50" t="s">
        <v>2058</v>
      </c>
      <c r="H166" s="50" t="s">
        <v>2059</v>
      </c>
      <c r="I166" s="3"/>
      <c r="J166" s="3"/>
      <c r="K166" s="5">
        <v>43354</v>
      </c>
      <c r="L166" s="51" t="s">
        <v>2060</v>
      </c>
      <c r="M166" s="110">
        <f>839882.04+684842.38</f>
        <v>1524724.42</v>
      </c>
      <c r="N166" s="3">
        <v>2</v>
      </c>
      <c r="O166" s="184" t="s">
        <v>2061</v>
      </c>
      <c r="P166" s="59">
        <v>620550.32999999996</v>
      </c>
      <c r="Q166" s="4">
        <v>43374</v>
      </c>
      <c r="R166" s="91" t="s">
        <v>498</v>
      </c>
      <c r="S166" s="110" t="s">
        <v>926</v>
      </c>
      <c r="T166" s="110" t="s">
        <v>24</v>
      </c>
      <c r="U166" s="52"/>
      <c r="W166" s="6"/>
      <c r="X166" s="1"/>
      <c r="Y166" s="6"/>
      <c r="Z166" s="12"/>
      <c r="AA166" s="12"/>
      <c r="AB166" s="12"/>
      <c r="AC166" s="14"/>
      <c r="AD166" s="14"/>
      <c r="AE166" s="14"/>
    </row>
    <row r="167" spans="1:34" ht="12" thickBot="1" x14ac:dyDescent="0.25">
      <c r="A167" s="9"/>
      <c r="B167" s="121"/>
      <c r="C167" s="9"/>
      <c r="D167" s="7"/>
      <c r="E167" s="9"/>
      <c r="F167" s="9"/>
      <c r="G167" s="9"/>
      <c r="H167" s="9"/>
      <c r="I167" s="9"/>
      <c r="J167" s="9"/>
      <c r="K167" s="9"/>
      <c r="L167" s="9"/>
      <c r="M167" s="9"/>
      <c r="N167" s="9"/>
      <c r="O167" s="9"/>
      <c r="P167" s="189"/>
      <c r="Q167" s="8"/>
      <c r="R167" s="62"/>
      <c r="S167" s="9"/>
      <c r="T167" s="9"/>
      <c r="U167" s="54"/>
      <c r="W167" s="6"/>
      <c r="X167" s="1"/>
      <c r="Y167" s="6"/>
      <c r="Z167" s="11"/>
      <c r="AA167" s="11"/>
      <c r="AB167" s="11"/>
      <c r="AC167" s="14"/>
      <c r="AD167" s="14"/>
      <c r="AE167" s="14"/>
    </row>
    <row r="168" spans="1:34" x14ac:dyDescent="0.2">
      <c r="L168" s="1"/>
      <c r="M168" s="1"/>
      <c r="N168" s="1"/>
      <c r="S168" s="6"/>
      <c r="T168" s="6"/>
      <c r="U168" s="14"/>
      <c r="W168" s="6"/>
      <c r="X168" s="1"/>
      <c r="Y168" s="6"/>
      <c r="Z168" s="11"/>
      <c r="AA168" s="11"/>
      <c r="AB168" s="11"/>
      <c r="AC168" s="14"/>
      <c r="AD168" s="14"/>
      <c r="AE168" s="14"/>
    </row>
    <row r="169" spans="1:34" x14ac:dyDescent="0.2">
      <c r="L169" s="28" t="s">
        <v>34</v>
      </c>
      <c r="M169" s="29">
        <f>SUM(M165:M167)</f>
        <v>3119795.42</v>
      </c>
      <c r="N169" s="1"/>
      <c r="O169" s="24" t="s">
        <v>46</v>
      </c>
      <c r="P169" s="25">
        <f>SUM(P165:P167)</f>
        <v>1081446.33</v>
      </c>
      <c r="U169" s="14"/>
      <c r="W169" s="6"/>
      <c r="X169" s="1"/>
      <c r="Y169" s="6"/>
      <c r="Z169" s="11"/>
      <c r="AA169" s="11"/>
      <c r="AB169" s="11"/>
      <c r="AC169" s="14"/>
      <c r="AD169" s="14"/>
      <c r="AE169" s="14"/>
    </row>
    <row r="170" spans="1:34" ht="12.75" x14ac:dyDescent="0.2">
      <c r="A170" s="37" t="s">
        <v>62</v>
      </c>
      <c r="L170" s="11"/>
      <c r="M170" s="1"/>
      <c r="N170" s="11"/>
      <c r="O170" s="11"/>
      <c r="P170" s="71" t="s">
        <v>68</v>
      </c>
      <c r="Q170" s="71" t="s">
        <v>69</v>
      </c>
      <c r="U170" s="14"/>
      <c r="W170" s="6"/>
      <c r="X170" s="1"/>
      <c r="Y170" s="6"/>
      <c r="Z170" s="11"/>
      <c r="AA170" s="11"/>
      <c r="AB170" s="11"/>
      <c r="AC170" s="14"/>
      <c r="AD170" s="14"/>
      <c r="AE170" s="14"/>
    </row>
    <row r="171" spans="1:34" x14ac:dyDescent="0.2">
      <c r="L171" s="28"/>
      <c r="M171" s="1"/>
      <c r="N171" s="30"/>
      <c r="O171" s="28" t="s">
        <v>22</v>
      </c>
      <c r="P171" s="30">
        <f>SUMIF(T165:T167,"GOODS",$P$165:$P$167)</f>
        <v>0</v>
      </c>
      <c r="Q171" s="73">
        <f>COUNTIFS(T164:T167,"GOODS",$P$164:$P$167,"&gt;=1")</f>
        <v>0</v>
      </c>
      <c r="V171" s="1"/>
      <c r="W171" s="1"/>
      <c r="Y171" s="14"/>
      <c r="Z171" s="6"/>
      <c r="AB171" s="6"/>
      <c r="AC171" s="11"/>
      <c r="AD171" s="11"/>
      <c r="AE171" s="11"/>
      <c r="AF171" s="14"/>
      <c r="AG171" s="14"/>
      <c r="AH171" s="14"/>
    </row>
    <row r="172" spans="1:34" x14ac:dyDescent="0.2">
      <c r="L172" s="28"/>
      <c r="M172" s="1"/>
      <c r="N172" s="30"/>
      <c r="O172" s="28" t="s">
        <v>23</v>
      </c>
      <c r="P172" s="30">
        <f>SUMIF(T165:T167,"SERVICES",$P$165:$P$167)</f>
        <v>0</v>
      </c>
      <c r="Q172" s="73">
        <f>COUNTIFS(T164:T167,"SERVICES",$P$164:$P$167,"&gt;=1")</f>
        <v>0</v>
      </c>
      <c r="V172" s="1"/>
      <c r="W172" s="1"/>
      <c r="Y172" s="14"/>
      <c r="Z172" s="6"/>
      <c r="AB172" s="6"/>
      <c r="AC172" s="11"/>
      <c r="AD172" s="11"/>
      <c r="AE172" s="11"/>
      <c r="AF172" s="14"/>
      <c r="AG172" s="14"/>
      <c r="AH172" s="14"/>
    </row>
    <row r="173" spans="1:34" x14ac:dyDescent="0.2">
      <c r="L173" s="28"/>
      <c r="M173" s="1"/>
      <c r="N173" s="30"/>
      <c r="O173" s="28" t="s">
        <v>24</v>
      </c>
      <c r="P173" s="30">
        <f>SUMIF(T165:T167,"CONSTRUCTION",$P$165:$P$167)</f>
        <v>1081446.33</v>
      </c>
      <c r="Q173" s="73">
        <f>COUNTIFS(T164:T167,"CONSTRUCTION",$P$164:$P$167,"&gt;=1")</f>
        <v>2</v>
      </c>
      <c r="V173" s="1"/>
      <c r="W173" s="1"/>
      <c r="Y173" s="14"/>
      <c r="Z173" s="6"/>
      <c r="AB173" s="6"/>
      <c r="AC173" s="11"/>
      <c r="AD173" s="11"/>
      <c r="AE173" s="11"/>
      <c r="AF173" s="14"/>
      <c r="AG173" s="14"/>
      <c r="AH173" s="14"/>
    </row>
    <row r="174" spans="1:34" x14ac:dyDescent="0.2">
      <c r="L174" s="1"/>
      <c r="M174" s="1"/>
      <c r="N174" s="1"/>
      <c r="P174" s="74">
        <f>SUM(P171:P173)</f>
        <v>1081446.33</v>
      </c>
      <c r="Q174" s="72">
        <f>SUM(Q171:Q173)</f>
        <v>2</v>
      </c>
      <c r="V174" s="1"/>
      <c r="W174" s="1"/>
      <c r="Y174" s="14"/>
      <c r="Z174" s="6"/>
      <c r="AB174" s="6"/>
      <c r="AC174" s="11"/>
      <c r="AD174" s="11"/>
      <c r="AE174" s="11"/>
      <c r="AF174" s="14"/>
      <c r="AG174" s="14"/>
      <c r="AH174" s="14"/>
    </row>
    <row r="175" spans="1:34" ht="15.75" x14ac:dyDescent="0.25">
      <c r="A175" s="88" t="s">
        <v>30</v>
      </c>
      <c r="B175" s="88"/>
      <c r="L175" s="1"/>
      <c r="M175" s="1"/>
      <c r="N175" s="1"/>
      <c r="V175" s="1"/>
      <c r="W175" s="1"/>
      <c r="X175" s="1"/>
    </row>
    <row r="176" spans="1:34" ht="15.75" x14ac:dyDescent="0.25">
      <c r="A176" s="88" t="s">
        <v>1493</v>
      </c>
      <c r="B176" s="88"/>
      <c r="L176" s="1"/>
      <c r="M176" s="1"/>
      <c r="N176" s="1"/>
      <c r="V176" s="1"/>
      <c r="W176" s="1"/>
      <c r="X176" s="1"/>
    </row>
    <row r="177" spans="1:31" ht="12" thickBot="1" x14ac:dyDescent="0.25">
      <c r="L177" s="1"/>
      <c r="N177" s="1"/>
      <c r="S177" s="14"/>
      <c r="T177" s="14"/>
      <c r="U177" s="23"/>
      <c r="V177" s="1"/>
      <c r="W177" s="1"/>
      <c r="X177" s="1"/>
    </row>
    <row r="178" spans="1:31" ht="11.85" customHeight="1" x14ac:dyDescent="0.2">
      <c r="A178" s="17"/>
      <c r="B178" s="17"/>
      <c r="C178" s="17"/>
      <c r="D178" s="41"/>
      <c r="E178" s="17"/>
      <c r="F178" s="17"/>
      <c r="G178" s="17"/>
      <c r="H178" s="17"/>
      <c r="I178" s="17"/>
      <c r="J178" s="18"/>
      <c r="K178" s="18"/>
      <c r="L178" s="18" t="s">
        <v>10</v>
      </c>
      <c r="M178" s="18" t="s">
        <v>47</v>
      </c>
      <c r="N178" s="18" t="s">
        <v>37</v>
      </c>
      <c r="O178" s="17"/>
      <c r="P178" s="17"/>
      <c r="Q178" s="210"/>
      <c r="R178" s="211"/>
      <c r="S178" s="18"/>
      <c r="T178" s="18"/>
      <c r="U178" s="18"/>
      <c r="V178" s="1"/>
      <c r="W178" s="1"/>
      <c r="X178" s="1"/>
    </row>
    <row r="179" spans="1:31" ht="11.85" customHeight="1" x14ac:dyDescent="0.2">
      <c r="A179" s="19" t="s">
        <v>12</v>
      </c>
      <c r="B179" s="19" t="s">
        <v>1</v>
      </c>
      <c r="C179" s="19" t="s">
        <v>71</v>
      </c>
      <c r="D179" s="42" t="s">
        <v>39</v>
      </c>
      <c r="E179" s="19" t="s">
        <v>2</v>
      </c>
      <c r="F179" s="19" t="s">
        <v>71</v>
      </c>
      <c r="G179" s="19" t="s">
        <v>41</v>
      </c>
      <c r="H179" s="19" t="s">
        <v>41</v>
      </c>
      <c r="I179" s="19" t="s">
        <v>41</v>
      </c>
      <c r="J179" s="19" t="s">
        <v>41</v>
      </c>
      <c r="K179" s="19" t="s">
        <v>41</v>
      </c>
      <c r="L179" s="19" t="s">
        <v>3</v>
      </c>
      <c r="M179" s="19" t="s">
        <v>48</v>
      </c>
      <c r="N179" s="19" t="s">
        <v>38</v>
      </c>
      <c r="O179" s="19" t="s">
        <v>4</v>
      </c>
      <c r="P179" s="19" t="s">
        <v>4</v>
      </c>
      <c r="Q179" s="212" t="s">
        <v>14</v>
      </c>
      <c r="R179" s="213"/>
      <c r="S179" s="19" t="s">
        <v>21</v>
      </c>
      <c r="T179" s="19" t="s">
        <v>26</v>
      </c>
      <c r="U179" s="19" t="s">
        <v>65</v>
      </c>
      <c r="V179" s="1"/>
      <c r="W179" s="1"/>
      <c r="X179" s="1"/>
    </row>
    <row r="180" spans="1:31" ht="11.85" customHeight="1" x14ac:dyDescent="0.2">
      <c r="A180" s="19" t="s">
        <v>5</v>
      </c>
      <c r="B180" s="19"/>
      <c r="C180" s="19" t="s">
        <v>39</v>
      </c>
      <c r="D180" s="42" t="s">
        <v>40</v>
      </c>
      <c r="E180" s="19" t="s">
        <v>7</v>
      </c>
      <c r="F180" s="19" t="s">
        <v>64</v>
      </c>
      <c r="G180" s="19" t="s">
        <v>42</v>
      </c>
      <c r="H180" s="19" t="s">
        <v>43</v>
      </c>
      <c r="I180" s="19" t="s">
        <v>44</v>
      </c>
      <c r="J180" s="19" t="s">
        <v>45</v>
      </c>
      <c r="K180" s="19" t="s">
        <v>2062</v>
      </c>
      <c r="L180" s="19" t="s">
        <v>6</v>
      </c>
      <c r="M180" s="19" t="s">
        <v>13</v>
      </c>
      <c r="N180" s="19" t="s">
        <v>4</v>
      </c>
      <c r="O180" s="19" t="s">
        <v>9</v>
      </c>
      <c r="P180" s="19" t="s">
        <v>6</v>
      </c>
      <c r="Q180" s="212"/>
      <c r="R180" s="213"/>
      <c r="S180" s="19" t="s">
        <v>28</v>
      </c>
      <c r="T180" s="19" t="s">
        <v>27</v>
      </c>
      <c r="U180" s="19"/>
      <c r="V180" s="1"/>
      <c r="W180" s="1"/>
      <c r="X180" s="1"/>
    </row>
    <row r="181" spans="1:31" ht="2.25" customHeight="1" thickBot="1" x14ac:dyDescent="0.25">
      <c r="A181" s="21"/>
      <c r="B181" s="20"/>
      <c r="C181" s="22"/>
      <c r="D181" s="43"/>
      <c r="E181" s="20"/>
      <c r="F181" s="22"/>
      <c r="G181" s="22"/>
      <c r="H181" s="22"/>
      <c r="I181" s="22"/>
      <c r="J181" s="22"/>
      <c r="K181" s="22"/>
      <c r="L181" s="20"/>
      <c r="M181" s="20"/>
      <c r="N181" s="20"/>
      <c r="O181" s="20"/>
      <c r="P181" s="20"/>
      <c r="Q181" s="214"/>
      <c r="R181" s="215"/>
      <c r="S181" s="20"/>
      <c r="T181" s="20"/>
      <c r="U181" s="20"/>
      <c r="V181" s="1"/>
      <c r="W181" s="1"/>
      <c r="X181" s="1"/>
    </row>
    <row r="182" spans="1:31" ht="22.5" x14ac:dyDescent="0.2">
      <c r="A182" s="122" t="s">
        <v>2063</v>
      </c>
      <c r="B182" s="93" t="s">
        <v>2064</v>
      </c>
      <c r="C182" s="4" t="s">
        <v>73</v>
      </c>
      <c r="D182" s="2" t="s">
        <v>73</v>
      </c>
      <c r="E182" s="123" t="s">
        <v>86</v>
      </c>
      <c r="F182" s="47" t="s">
        <v>2065</v>
      </c>
      <c r="G182" s="4"/>
      <c r="H182" s="4"/>
      <c r="I182" s="4"/>
      <c r="J182" s="4"/>
      <c r="K182" s="4"/>
      <c r="L182" s="5">
        <v>43039</v>
      </c>
      <c r="M182" s="3">
        <v>15</v>
      </c>
      <c r="N182" s="124" t="s">
        <v>86</v>
      </c>
      <c r="O182" s="124">
        <v>355785</v>
      </c>
      <c r="P182" s="4">
        <v>43159</v>
      </c>
      <c r="Q182" s="228" t="s">
        <v>2066</v>
      </c>
      <c r="R182" s="229"/>
      <c r="S182" s="110" t="s">
        <v>926</v>
      </c>
      <c r="T182" s="110" t="s">
        <v>23</v>
      </c>
      <c r="U182" s="55"/>
      <c r="W182" s="6"/>
      <c r="X182" s="1"/>
      <c r="Y182" s="6"/>
      <c r="Z182" s="12"/>
      <c r="AA182" s="12"/>
      <c r="AB182" s="12"/>
      <c r="AC182" s="14"/>
      <c r="AD182" s="14"/>
      <c r="AE182" s="14"/>
    </row>
    <row r="183" spans="1:31" x14ac:dyDescent="0.2">
      <c r="A183" s="3" t="s">
        <v>2067</v>
      </c>
      <c r="B183" s="93" t="s">
        <v>2068</v>
      </c>
      <c r="C183" s="96" t="s">
        <v>73</v>
      </c>
      <c r="D183" s="2" t="s">
        <v>73</v>
      </c>
      <c r="E183" s="3" t="s">
        <v>86</v>
      </c>
      <c r="F183" s="50" t="s">
        <v>2069</v>
      </c>
      <c r="G183" s="3"/>
      <c r="H183" s="3"/>
      <c r="I183" s="3"/>
      <c r="J183" s="3"/>
      <c r="K183" s="3"/>
      <c r="L183" s="5">
        <v>43143</v>
      </c>
      <c r="M183" s="3">
        <v>12</v>
      </c>
      <c r="N183" s="110" t="s">
        <v>86</v>
      </c>
      <c r="O183" s="58">
        <v>388500</v>
      </c>
      <c r="P183" s="4">
        <v>43297</v>
      </c>
      <c r="Q183" s="222" t="s">
        <v>1485</v>
      </c>
      <c r="R183" s="223"/>
      <c r="S183" s="110" t="s">
        <v>926</v>
      </c>
      <c r="T183" s="110" t="s">
        <v>23</v>
      </c>
      <c r="U183" s="52"/>
      <c r="W183" s="6"/>
      <c r="X183" s="1"/>
      <c r="Y183" s="6"/>
      <c r="Z183" s="12"/>
      <c r="AA183" s="12"/>
      <c r="AB183" s="12"/>
      <c r="AC183" s="14"/>
      <c r="AD183" s="14"/>
      <c r="AE183" s="14"/>
    </row>
    <row r="184" spans="1:31" x14ac:dyDescent="0.2">
      <c r="A184" s="3" t="s">
        <v>2070</v>
      </c>
      <c r="B184" s="93" t="s">
        <v>2071</v>
      </c>
      <c r="C184" s="4" t="s">
        <v>73</v>
      </c>
      <c r="D184" s="2" t="s">
        <v>73</v>
      </c>
      <c r="E184" s="3" t="s">
        <v>2072</v>
      </c>
      <c r="F184" s="50" t="s">
        <v>2073</v>
      </c>
      <c r="G184" s="50" t="s">
        <v>2074</v>
      </c>
      <c r="H184" s="50" t="s">
        <v>2075</v>
      </c>
      <c r="I184" s="50" t="s">
        <v>2076</v>
      </c>
      <c r="J184" s="50" t="s">
        <v>2077</v>
      </c>
      <c r="K184" s="50"/>
      <c r="L184" s="5">
        <v>43259</v>
      </c>
      <c r="M184" s="3">
        <v>6</v>
      </c>
      <c r="N184" s="184" t="s">
        <v>2078</v>
      </c>
      <c r="O184" s="58">
        <v>1814786</v>
      </c>
      <c r="P184" s="4">
        <v>43570</v>
      </c>
      <c r="Q184" s="222" t="s">
        <v>2079</v>
      </c>
      <c r="R184" s="223"/>
      <c r="S184" s="110" t="s">
        <v>926</v>
      </c>
      <c r="T184" s="110" t="s">
        <v>22</v>
      </c>
      <c r="U184" s="52" t="s">
        <v>2080</v>
      </c>
      <c r="W184" s="6"/>
      <c r="X184" s="1"/>
      <c r="Y184" s="6"/>
      <c r="Z184" s="12"/>
      <c r="AA184" s="12"/>
      <c r="AB184" s="12"/>
      <c r="AC184" s="14"/>
      <c r="AD184" s="14"/>
      <c r="AE184" s="14"/>
    </row>
    <row r="185" spans="1:31" x14ac:dyDescent="0.2">
      <c r="A185" s="3" t="s">
        <v>2081</v>
      </c>
      <c r="B185" s="93" t="s">
        <v>2082</v>
      </c>
      <c r="C185" s="4" t="s">
        <v>73</v>
      </c>
      <c r="D185" s="2" t="s">
        <v>73</v>
      </c>
      <c r="E185" s="4">
        <v>43271</v>
      </c>
      <c r="F185" s="47" t="s">
        <v>2083</v>
      </c>
      <c r="G185" s="47" t="s">
        <v>2084</v>
      </c>
      <c r="H185" s="4"/>
      <c r="I185" s="4"/>
      <c r="J185" s="4"/>
      <c r="K185" s="4"/>
      <c r="L185" s="5">
        <v>43291</v>
      </c>
      <c r="M185" s="3">
        <v>10</v>
      </c>
      <c r="N185" s="4" t="s">
        <v>86</v>
      </c>
      <c r="O185" s="58">
        <v>49725</v>
      </c>
      <c r="P185" s="4">
        <v>43341</v>
      </c>
      <c r="Q185" s="222" t="s">
        <v>2085</v>
      </c>
      <c r="R185" s="223"/>
      <c r="S185" s="110" t="s">
        <v>926</v>
      </c>
      <c r="T185" s="110" t="s">
        <v>23</v>
      </c>
      <c r="U185" s="52"/>
      <c r="W185" s="6"/>
      <c r="X185" s="1"/>
      <c r="Y185" s="6"/>
      <c r="Z185" s="12"/>
      <c r="AA185" s="12"/>
      <c r="AB185" s="12"/>
      <c r="AC185" s="14"/>
      <c r="AD185" s="14"/>
      <c r="AE185" s="14"/>
    </row>
    <row r="186" spans="1:31" ht="12" thickBot="1" x14ac:dyDescent="0.25">
      <c r="A186" s="9"/>
      <c r="B186" s="121"/>
      <c r="C186" s="9"/>
      <c r="D186" s="7"/>
      <c r="E186" s="9"/>
      <c r="F186" s="9"/>
      <c r="G186" s="9"/>
      <c r="H186" s="9"/>
      <c r="I186" s="9"/>
      <c r="J186" s="9"/>
      <c r="K186" s="9"/>
      <c r="L186" s="9"/>
      <c r="M186" s="9"/>
      <c r="N186" s="9"/>
      <c r="O186" s="9"/>
      <c r="P186" s="8"/>
      <c r="Q186" s="230"/>
      <c r="R186" s="231"/>
      <c r="S186" s="9"/>
      <c r="T186" s="9"/>
      <c r="U186" s="54"/>
      <c r="W186" s="6"/>
      <c r="X186" s="1"/>
      <c r="Y186" s="6"/>
      <c r="Z186" s="11"/>
      <c r="AA186" s="11"/>
      <c r="AB186" s="11"/>
      <c r="AC186" s="14"/>
      <c r="AD186" s="14"/>
      <c r="AE186" s="14"/>
    </row>
    <row r="187" spans="1:31" x14ac:dyDescent="0.2">
      <c r="L187" s="1"/>
      <c r="M187" s="1"/>
      <c r="N187" s="1"/>
      <c r="S187" s="6"/>
      <c r="T187" s="6"/>
      <c r="U187" s="14"/>
      <c r="W187" s="6"/>
      <c r="X187" s="1"/>
      <c r="Y187" s="6"/>
      <c r="Z187" s="11"/>
      <c r="AA187" s="11"/>
      <c r="AB187" s="11"/>
      <c r="AC187" s="14"/>
      <c r="AD187" s="14"/>
      <c r="AE187" s="14"/>
    </row>
    <row r="188" spans="1:31" x14ac:dyDescent="0.2">
      <c r="L188" s="28"/>
      <c r="M188" s="1"/>
      <c r="N188" s="24" t="s">
        <v>46</v>
      </c>
      <c r="O188" s="25">
        <f>SUM(O182:O186)</f>
        <v>2608796</v>
      </c>
      <c r="U188" s="14"/>
      <c r="W188" s="6"/>
      <c r="X188" s="1"/>
      <c r="Y188" s="6"/>
      <c r="Z188" s="11"/>
      <c r="AA188" s="11"/>
      <c r="AB188" s="11"/>
      <c r="AC188" s="14"/>
      <c r="AD188" s="14"/>
      <c r="AE188" s="14"/>
    </row>
    <row r="189" spans="1:31" ht="12.75" x14ac:dyDescent="0.2">
      <c r="A189" s="37" t="s">
        <v>62</v>
      </c>
      <c r="L189" s="1"/>
      <c r="M189" s="11"/>
      <c r="N189" s="11"/>
      <c r="O189" s="71" t="s">
        <v>68</v>
      </c>
      <c r="P189" s="71" t="s">
        <v>69</v>
      </c>
      <c r="U189" s="14"/>
      <c r="W189" s="6"/>
      <c r="X189" s="1"/>
      <c r="Y189" s="6"/>
      <c r="Z189" s="11"/>
      <c r="AA189" s="11"/>
      <c r="AB189" s="11"/>
      <c r="AC189" s="14"/>
      <c r="AD189" s="14"/>
      <c r="AE189" s="14"/>
    </row>
    <row r="190" spans="1:31" x14ac:dyDescent="0.2">
      <c r="L190" s="1"/>
      <c r="M190" s="30"/>
      <c r="N190" s="28" t="s">
        <v>22</v>
      </c>
      <c r="O190" s="30">
        <f>SUMIF(T182:T186,"GOODS",$O$182:$O$186)</f>
        <v>1814786</v>
      </c>
      <c r="P190" s="73">
        <f>COUNTIFS(T181:T186,"GOODS",$O$181:$O$186,"&gt;=1")</f>
        <v>1</v>
      </c>
      <c r="U190" s="14"/>
      <c r="W190" s="6"/>
      <c r="X190" s="1"/>
      <c r="Y190" s="6"/>
      <c r="Z190" s="11"/>
      <c r="AA190" s="11"/>
      <c r="AB190" s="11"/>
      <c r="AC190" s="14"/>
      <c r="AD190" s="14"/>
      <c r="AE190" s="14"/>
    </row>
    <row r="191" spans="1:31" x14ac:dyDescent="0.2">
      <c r="L191" s="1"/>
      <c r="M191" s="30"/>
      <c r="N191" s="28" t="s">
        <v>23</v>
      </c>
      <c r="O191" s="30">
        <f>SUMIF(T182:T186,"SERVICES",$O$182:$O$186)</f>
        <v>794010</v>
      </c>
      <c r="P191" s="73">
        <f>COUNTIFS(T181:T186,"SERVICES",$O$181:$O$186,"&gt;=1")</f>
        <v>3</v>
      </c>
      <c r="U191" s="14"/>
      <c r="W191" s="6"/>
      <c r="X191" s="1"/>
      <c r="Y191" s="6"/>
      <c r="Z191" s="11"/>
      <c r="AA191" s="11"/>
      <c r="AB191" s="11"/>
      <c r="AC191" s="14"/>
      <c r="AD191" s="14"/>
      <c r="AE191" s="14"/>
    </row>
    <row r="192" spans="1:31" x14ac:dyDescent="0.2">
      <c r="L192" s="1"/>
      <c r="M192" s="30"/>
      <c r="N192" s="28" t="s">
        <v>24</v>
      </c>
      <c r="O192" s="30">
        <f>SUMIF(T182:T186,"CONSTRUCTION",$O$182:$O$186)</f>
        <v>0</v>
      </c>
      <c r="P192" s="73">
        <f>COUNTIFS(T181:T186,"CONSTRUCTION",$O$181:$O$186,"&gt;=1")</f>
        <v>0</v>
      </c>
      <c r="U192" s="14"/>
      <c r="W192" s="6"/>
      <c r="X192" s="1"/>
      <c r="Y192" s="6"/>
      <c r="Z192" s="11"/>
      <c r="AA192" s="11"/>
      <c r="AB192" s="11"/>
      <c r="AC192" s="14"/>
      <c r="AD192" s="14"/>
      <c r="AE192" s="14"/>
    </row>
    <row r="193" spans="1:24" x14ac:dyDescent="0.2">
      <c r="A193" s="10"/>
      <c r="B193" s="14"/>
      <c r="L193" s="11"/>
      <c r="N193" s="1"/>
      <c r="O193" s="74">
        <f>SUM(O190:O192)</f>
        <v>2608796</v>
      </c>
      <c r="P193" s="72">
        <f>SUM(P190:P192)</f>
        <v>4</v>
      </c>
      <c r="Q193" s="11"/>
      <c r="R193" s="11"/>
      <c r="S193" s="11"/>
      <c r="T193" s="11"/>
      <c r="U193" s="11"/>
    </row>
    <row r="194" spans="1:24" ht="15.75" x14ac:dyDescent="0.25">
      <c r="A194" s="88" t="s">
        <v>29</v>
      </c>
      <c r="B194" s="88"/>
      <c r="L194" s="1"/>
      <c r="M194" s="1"/>
      <c r="N194" s="1"/>
      <c r="V194" s="1"/>
      <c r="W194" s="1"/>
      <c r="X194" s="1"/>
    </row>
    <row r="195" spans="1:24" ht="15.75" x14ac:dyDescent="0.25">
      <c r="A195" s="88" t="s">
        <v>1493</v>
      </c>
      <c r="B195" s="88"/>
      <c r="L195" s="1"/>
      <c r="M195" s="1"/>
      <c r="N195" s="1"/>
      <c r="V195" s="1"/>
      <c r="W195" s="1"/>
      <c r="X195" s="1"/>
    </row>
    <row r="196" spans="1:24" ht="12" thickBot="1" x14ac:dyDescent="0.25">
      <c r="J196" s="14"/>
      <c r="K196" s="14"/>
      <c r="M196" s="23"/>
      <c r="N196" s="1"/>
      <c r="V196" s="1"/>
      <c r="W196" s="1"/>
      <c r="X196" s="1"/>
    </row>
    <row r="197" spans="1:24" ht="11.85" customHeight="1" x14ac:dyDescent="0.2">
      <c r="A197" s="17"/>
      <c r="B197" s="17"/>
      <c r="C197" s="17"/>
      <c r="D197" s="41"/>
      <c r="E197" s="17"/>
      <c r="F197" s="17"/>
      <c r="G197" s="17"/>
      <c r="H197" s="17"/>
      <c r="I197" s="18" t="s">
        <v>10</v>
      </c>
      <c r="J197" s="18" t="s">
        <v>47</v>
      </c>
      <c r="K197" s="18"/>
      <c r="L197" s="18"/>
      <c r="M197" s="210"/>
      <c r="N197" s="211"/>
      <c r="V197" s="1"/>
      <c r="W197" s="1"/>
      <c r="X197" s="1"/>
    </row>
    <row r="198" spans="1:24" ht="11.85" customHeight="1" x14ac:dyDescent="0.2">
      <c r="A198" s="19" t="s">
        <v>18</v>
      </c>
      <c r="B198" s="19" t="s">
        <v>1</v>
      </c>
      <c r="C198" s="19" t="s">
        <v>18</v>
      </c>
      <c r="D198" s="42" t="s">
        <v>39</v>
      </c>
      <c r="E198" s="19" t="s">
        <v>2</v>
      </c>
      <c r="F198" s="19" t="s">
        <v>18</v>
      </c>
      <c r="G198" s="19" t="s">
        <v>41</v>
      </c>
      <c r="H198" s="19" t="s">
        <v>41</v>
      </c>
      <c r="I198" s="19" t="s">
        <v>3</v>
      </c>
      <c r="J198" s="19" t="s">
        <v>48</v>
      </c>
      <c r="K198" s="19" t="s">
        <v>21</v>
      </c>
      <c r="L198" s="19" t="s">
        <v>26</v>
      </c>
      <c r="M198" s="212" t="s">
        <v>65</v>
      </c>
      <c r="N198" s="213"/>
      <c r="V198" s="1"/>
      <c r="W198" s="1"/>
      <c r="X198" s="1"/>
    </row>
    <row r="199" spans="1:24" ht="11.85" customHeight="1" x14ac:dyDescent="0.2">
      <c r="A199" s="19" t="s">
        <v>5</v>
      </c>
      <c r="B199" s="19"/>
      <c r="C199" s="19" t="s">
        <v>39</v>
      </c>
      <c r="D199" s="42" t="s">
        <v>40</v>
      </c>
      <c r="E199" s="19" t="s">
        <v>7</v>
      </c>
      <c r="F199" s="19" t="s">
        <v>64</v>
      </c>
      <c r="G199" s="19" t="s">
        <v>42</v>
      </c>
      <c r="H199" s="19" t="s">
        <v>43</v>
      </c>
      <c r="I199" s="19" t="s">
        <v>6</v>
      </c>
      <c r="J199" s="19" t="s">
        <v>13</v>
      </c>
      <c r="K199" s="19" t="s">
        <v>28</v>
      </c>
      <c r="L199" s="19" t="s">
        <v>27</v>
      </c>
      <c r="M199" s="212"/>
      <c r="N199" s="213"/>
      <c r="V199" s="1"/>
      <c r="W199" s="1"/>
      <c r="X199" s="1"/>
    </row>
    <row r="200" spans="1:24" ht="2.25" customHeight="1" thickBot="1" x14ac:dyDescent="0.25">
      <c r="A200" s="21"/>
      <c r="B200" s="20"/>
      <c r="C200" s="22"/>
      <c r="D200" s="43"/>
      <c r="E200" s="20"/>
      <c r="F200" s="22"/>
      <c r="G200" s="22"/>
      <c r="H200" s="22"/>
      <c r="I200" s="20"/>
      <c r="J200" s="20"/>
      <c r="K200" s="20"/>
      <c r="L200" s="20"/>
      <c r="M200" s="214"/>
      <c r="N200" s="215"/>
      <c r="V200" s="1"/>
      <c r="W200" s="1"/>
      <c r="X200" s="1"/>
    </row>
    <row r="201" spans="1:24" ht="13.35" customHeight="1" x14ac:dyDescent="0.2">
      <c r="A201" s="122" t="s">
        <v>2086</v>
      </c>
      <c r="B201" s="93"/>
      <c r="C201" s="96"/>
      <c r="D201" s="2"/>
      <c r="E201" s="96"/>
      <c r="F201" s="47"/>
      <c r="G201" s="47"/>
      <c r="H201" s="96"/>
      <c r="I201" s="96"/>
      <c r="J201" s="96"/>
      <c r="K201" s="110"/>
      <c r="L201" s="110"/>
      <c r="M201" s="232"/>
      <c r="N201" s="233"/>
      <c r="O201" s="6"/>
      <c r="Q201" s="6"/>
      <c r="R201" s="12"/>
      <c r="S201" s="12"/>
      <c r="T201" s="12"/>
      <c r="U201" s="14"/>
      <c r="X201" s="1"/>
    </row>
    <row r="202" spans="1:24" ht="14.1" customHeight="1" thickBot="1" x14ac:dyDescent="0.25">
      <c r="A202" s="9"/>
      <c r="B202" s="121"/>
      <c r="C202" s="9"/>
      <c r="D202" s="7"/>
      <c r="E202" s="9"/>
      <c r="F202" s="9"/>
      <c r="G202" s="9"/>
      <c r="H202" s="9"/>
      <c r="I202" s="9"/>
      <c r="J202" s="9"/>
      <c r="K202" s="9"/>
      <c r="L202" s="9"/>
      <c r="M202" s="234"/>
      <c r="N202" s="235"/>
      <c r="O202" s="6"/>
      <c r="Q202" s="6"/>
      <c r="R202" s="11"/>
      <c r="S202" s="11"/>
      <c r="T202" s="11"/>
      <c r="U202" s="14"/>
      <c r="X202" s="1"/>
    </row>
    <row r="203" spans="1:24" x14ac:dyDescent="0.2">
      <c r="K203" s="6"/>
      <c r="L203" s="6"/>
      <c r="O203" s="6"/>
      <c r="Q203" s="6"/>
      <c r="R203" s="11"/>
      <c r="S203" s="11"/>
      <c r="T203" s="11"/>
      <c r="U203" s="14"/>
      <c r="X203" s="1"/>
    </row>
    <row r="204" spans="1:24" x14ac:dyDescent="0.2">
      <c r="A204" s="10"/>
      <c r="B204" s="14"/>
      <c r="I204" s="11"/>
      <c r="J204" s="14"/>
      <c r="K204" s="14"/>
      <c r="N204" s="1"/>
      <c r="V204" s="1"/>
      <c r="W204" s="1"/>
      <c r="X204" s="1"/>
    </row>
    <row r="205" spans="1:24" ht="12.75" x14ac:dyDescent="0.2">
      <c r="A205" s="38" t="s">
        <v>62</v>
      </c>
      <c r="B205" s="14"/>
      <c r="I205" s="11"/>
      <c r="J205" s="14"/>
      <c r="K205" s="14"/>
      <c r="N205" s="1"/>
      <c r="V205" s="1"/>
      <c r="W205" s="1"/>
      <c r="X205" s="1"/>
    </row>
    <row r="206" spans="1:24" x14ac:dyDescent="0.2">
      <c r="A206" s="10"/>
      <c r="B206" s="14"/>
      <c r="I206" s="11"/>
      <c r="J206" s="14"/>
      <c r="K206" s="14"/>
      <c r="N206" s="1"/>
      <c r="V206" s="1"/>
      <c r="W206" s="1"/>
      <c r="X206" s="1"/>
    </row>
    <row r="207" spans="1:24" x14ac:dyDescent="0.2">
      <c r="A207" s="10"/>
      <c r="B207" s="14"/>
      <c r="I207" s="11"/>
      <c r="J207" s="14"/>
      <c r="K207" s="14"/>
      <c r="N207" s="1"/>
      <c r="V207" s="1"/>
      <c r="W207" s="1"/>
      <c r="X207" s="1"/>
    </row>
    <row r="208" spans="1:24" x14ac:dyDescent="0.2">
      <c r="A208" s="10" t="s">
        <v>67</v>
      </c>
      <c r="B208" s="14"/>
      <c r="K208" s="11"/>
      <c r="R208" s="11"/>
      <c r="S208" s="11"/>
      <c r="T208" s="11"/>
      <c r="U208" s="11"/>
    </row>
    <row r="209" spans="1:21" x14ac:dyDescent="0.2">
      <c r="A209" s="10"/>
      <c r="B209" s="14"/>
      <c r="K209" s="11"/>
      <c r="R209" s="11"/>
      <c r="S209" s="11"/>
      <c r="T209" s="11"/>
      <c r="U209" s="11"/>
    </row>
    <row r="210" spans="1:21" ht="15" customHeight="1" x14ac:dyDescent="0.2">
      <c r="A210" s="236" t="s">
        <v>66</v>
      </c>
      <c r="B210" s="237"/>
      <c r="C210" s="237"/>
      <c r="D210" s="237"/>
      <c r="E210" s="237"/>
      <c r="F210" s="237"/>
      <c r="G210" s="237"/>
      <c r="H210" s="237"/>
      <c r="I210" s="237"/>
      <c r="J210" s="237"/>
      <c r="K210" s="237"/>
      <c r="L210" s="237"/>
      <c r="R210" s="11"/>
      <c r="S210" s="11"/>
      <c r="T210" s="11"/>
      <c r="U210" s="11"/>
    </row>
    <row r="211" spans="1:21" ht="15" customHeight="1" x14ac:dyDescent="0.2">
      <c r="A211" s="237"/>
      <c r="B211" s="237"/>
      <c r="C211" s="237"/>
      <c r="D211" s="237"/>
      <c r="E211" s="237"/>
      <c r="F211" s="237"/>
      <c r="G211" s="237"/>
      <c r="H211" s="237"/>
      <c r="I211" s="237"/>
      <c r="J211" s="237"/>
      <c r="K211" s="237"/>
      <c r="L211" s="237"/>
      <c r="R211" s="11"/>
      <c r="S211" s="11"/>
      <c r="T211" s="11"/>
      <c r="U211" s="11"/>
    </row>
    <row r="212" spans="1:21" ht="14.25" customHeight="1" x14ac:dyDescent="0.2">
      <c r="A212" s="237"/>
      <c r="B212" s="237"/>
      <c r="C212" s="237"/>
      <c r="D212" s="237"/>
      <c r="E212" s="237"/>
      <c r="F212" s="237"/>
      <c r="G212" s="237"/>
      <c r="H212" s="237"/>
      <c r="I212" s="237"/>
      <c r="J212" s="237"/>
      <c r="K212" s="237"/>
      <c r="L212" s="237"/>
      <c r="R212" s="11"/>
      <c r="S212" s="11"/>
      <c r="T212" s="11"/>
      <c r="U212" s="11"/>
    </row>
    <row r="213" spans="1:21" ht="14.25" customHeight="1" x14ac:dyDescent="0.2">
      <c r="A213" s="237"/>
      <c r="B213" s="237"/>
      <c r="C213" s="237"/>
      <c r="D213" s="237"/>
      <c r="E213" s="237"/>
      <c r="F213" s="237"/>
      <c r="G213" s="237"/>
      <c r="H213" s="237"/>
      <c r="I213" s="237"/>
      <c r="J213" s="237"/>
      <c r="K213" s="237"/>
      <c r="L213" s="237"/>
      <c r="R213" s="11"/>
      <c r="S213" s="11"/>
      <c r="T213" s="11"/>
      <c r="U213" s="11"/>
    </row>
    <row r="214" spans="1:21" x14ac:dyDescent="0.2">
      <c r="A214" s="10"/>
      <c r="B214" s="14"/>
      <c r="K214" s="11"/>
      <c r="R214" s="11"/>
      <c r="S214" s="11"/>
      <c r="T214" s="11"/>
      <c r="U214" s="11"/>
    </row>
    <row r="215" spans="1:21" x14ac:dyDescent="0.2">
      <c r="A215" s="10"/>
      <c r="B215" s="14"/>
      <c r="K215" s="11"/>
      <c r="R215" s="11"/>
      <c r="S215" s="11"/>
      <c r="T215" s="11"/>
      <c r="U215" s="11"/>
    </row>
    <row r="216" spans="1:21" x14ac:dyDescent="0.2">
      <c r="A216" s="10"/>
      <c r="B216" s="14"/>
      <c r="K216" s="11"/>
      <c r="R216" s="11"/>
      <c r="S216" s="11"/>
      <c r="T216" s="11"/>
      <c r="U216" s="11"/>
    </row>
    <row r="217" spans="1:21" x14ac:dyDescent="0.2">
      <c r="A217" s="10"/>
      <c r="B217" s="14"/>
      <c r="K217" s="11"/>
      <c r="R217" s="11"/>
      <c r="S217" s="11"/>
      <c r="T217" s="11"/>
      <c r="U217" s="11"/>
    </row>
    <row r="218" spans="1:21" x14ac:dyDescent="0.2">
      <c r="A218" s="10"/>
      <c r="B218" s="14"/>
      <c r="K218" s="11"/>
      <c r="R218" s="11"/>
      <c r="S218" s="11"/>
      <c r="T218" s="11"/>
      <c r="U218" s="11"/>
    </row>
    <row r="219" spans="1:21" x14ac:dyDescent="0.2">
      <c r="A219" s="10"/>
      <c r="B219" s="14"/>
      <c r="K219" s="11"/>
      <c r="R219" s="11"/>
      <c r="S219" s="11"/>
      <c r="T219" s="11"/>
      <c r="U219" s="11"/>
    </row>
    <row r="220" spans="1:21" x14ac:dyDescent="0.2">
      <c r="A220" s="10"/>
      <c r="B220" s="14"/>
      <c r="K220" s="11"/>
      <c r="R220" s="11"/>
      <c r="S220" s="11"/>
      <c r="T220" s="11"/>
      <c r="U220" s="11"/>
    </row>
    <row r="221" spans="1:21" x14ac:dyDescent="0.2">
      <c r="A221" s="10"/>
      <c r="B221" s="14"/>
      <c r="K221" s="11"/>
      <c r="R221" s="11"/>
      <c r="S221" s="11"/>
      <c r="T221" s="11"/>
      <c r="U221" s="11"/>
    </row>
    <row r="222" spans="1:21" x14ac:dyDescent="0.2">
      <c r="A222" s="10"/>
      <c r="B222" s="14"/>
      <c r="K222" s="11"/>
      <c r="R222" s="11"/>
      <c r="S222" s="11"/>
      <c r="T222" s="11"/>
      <c r="U222" s="11"/>
    </row>
    <row r="223" spans="1:21" x14ac:dyDescent="0.2">
      <c r="A223" s="10"/>
      <c r="B223" s="14"/>
      <c r="K223" s="11"/>
      <c r="R223" s="11"/>
      <c r="S223" s="11"/>
      <c r="T223" s="11"/>
      <c r="U223" s="11"/>
    </row>
    <row r="224" spans="1:21" x14ac:dyDescent="0.2">
      <c r="A224" s="10"/>
      <c r="B224" s="14"/>
      <c r="K224" s="11"/>
      <c r="R224" s="11"/>
      <c r="S224" s="11"/>
      <c r="T224" s="11"/>
      <c r="U224" s="11"/>
    </row>
    <row r="225" spans="1:21" x14ac:dyDescent="0.2">
      <c r="A225" s="10"/>
      <c r="B225" s="14"/>
      <c r="K225" s="11"/>
      <c r="R225" s="11"/>
      <c r="S225" s="11"/>
      <c r="T225" s="11"/>
      <c r="U225" s="11"/>
    </row>
    <row r="226" spans="1:21" x14ac:dyDescent="0.2">
      <c r="A226" s="10"/>
      <c r="B226" s="14"/>
      <c r="K226" s="11"/>
      <c r="R226" s="11"/>
      <c r="S226" s="11"/>
      <c r="T226" s="11"/>
      <c r="U226" s="11"/>
    </row>
    <row r="227" spans="1:21" x14ac:dyDescent="0.2">
      <c r="A227" s="10"/>
      <c r="B227" s="14"/>
      <c r="K227" s="11"/>
      <c r="R227" s="11"/>
      <c r="S227" s="11"/>
      <c r="T227" s="11"/>
      <c r="U227" s="11"/>
    </row>
    <row r="228" spans="1:21" x14ac:dyDescent="0.2">
      <c r="A228" s="10"/>
      <c r="B228" s="14"/>
      <c r="K228" s="11"/>
      <c r="R228" s="11"/>
      <c r="S228" s="11"/>
      <c r="T228" s="11"/>
      <c r="U228" s="11"/>
    </row>
    <row r="229" spans="1:21" x14ac:dyDescent="0.2">
      <c r="A229" s="10"/>
      <c r="B229" s="14"/>
      <c r="K229" s="11"/>
      <c r="R229" s="11"/>
      <c r="S229" s="11"/>
      <c r="T229" s="11"/>
      <c r="U229" s="11"/>
    </row>
    <row r="230" spans="1:21" x14ac:dyDescent="0.2">
      <c r="A230" s="10"/>
      <c r="B230" s="14"/>
      <c r="K230" s="11"/>
      <c r="R230" s="11"/>
      <c r="S230" s="11"/>
      <c r="T230" s="11"/>
      <c r="U230" s="11"/>
    </row>
    <row r="231" spans="1:21" x14ac:dyDescent="0.2">
      <c r="A231" s="10"/>
      <c r="B231" s="14"/>
      <c r="K231" s="11"/>
      <c r="R231" s="11"/>
      <c r="S231" s="11"/>
      <c r="T231" s="11"/>
      <c r="U231" s="11"/>
    </row>
    <row r="232" spans="1:21" x14ac:dyDescent="0.2">
      <c r="A232" s="10"/>
      <c r="B232" s="14"/>
      <c r="K232" s="11"/>
      <c r="R232" s="11"/>
      <c r="S232" s="11"/>
      <c r="T232" s="11"/>
      <c r="U232" s="11"/>
    </row>
    <row r="233" spans="1:21" x14ac:dyDescent="0.2">
      <c r="A233" s="10"/>
      <c r="B233" s="14"/>
      <c r="K233" s="11"/>
      <c r="R233" s="11"/>
      <c r="S233" s="11"/>
      <c r="T233" s="11"/>
      <c r="U233" s="11"/>
    </row>
    <row r="234" spans="1:21" x14ac:dyDescent="0.2">
      <c r="A234" s="10"/>
      <c r="B234" s="14"/>
      <c r="K234" s="11"/>
      <c r="R234" s="11"/>
      <c r="S234" s="11"/>
      <c r="T234" s="11"/>
      <c r="U234" s="11"/>
    </row>
    <row r="235" spans="1:21" x14ac:dyDescent="0.2">
      <c r="A235" s="10"/>
      <c r="B235" s="14"/>
      <c r="K235" s="11"/>
      <c r="R235" s="11"/>
      <c r="S235" s="11"/>
      <c r="T235" s="11"/>
      <c r="U235" s="11"/>
    </row>
    <row r="236" spans="1:21" x14ac:dyDescent="0.2">
      <c r="A236" s="10"/>
      <c r="B236" s="14"/>
      <c r="K236" s="11"/>
      <c r="R236" s="11"/>
      <c r="S236" s="11"/>
      <c r="T236" s="11"/>
      <c r="U236" s="11"/>
    </row>
    <row r="237" spans="1:21" x14ac:dyDescent="0.2">
      <c r="A237" s="10"/>
      <c r="B237" s="14"/>
      <c r="K237" s="11"/>
      <c r="R237" s="11"/>
      <c r="S237" s="11"/>
      <c r="T237" s="11"/>
      <c r="U237" s="11"/>
    </row>
    <row r="238" spans="1:21" x14ac:dyDescent="0.2">
      <c r="A238" s="10"/>
      <c r="B238" s="14"/>
      <c r="K238" s="11"/>
      <c r="R238" s="11"/>
      <c r="S238" s="11"/>
      <c r="T238" s="11"/>
      <c r="U238" s="11"/>
    </row>
    <row r="239" spans="1:21" x14ac:dyDescent="0.2">
      <c r="A239" s="10"/>
      <c r="B239" s="14"/>
      <c r="K239" s="11"/>
      <c r="R239" s="11"/>
      <c r="S239" s="11"/>
      <c r="T239" s="11"/>
      <c r="U239" s="11"/>
    </row>
    <row r="240" spans="1:21" x14ac:dyDescent="0.2">
      <c r="A240" s="10"/>
      <c r="B240" s="14"/>
      <c r="K240" s="11"/>
      <c r="R240" s="11"/>
      <c r="S240" s="11"/>
      <c r="T240" s="11"/>
      <c r="U240" s="11"/>
    </row>
    <row r="241" spans="1:21" x14ac:dyDescent="0.2">
      <c r="A241" s="10"/>
      <c r="B241" s="14"/>
      <c r="K241" s="11"/>
      <c r="R241" s="11"/>
      <c r="S241" s="11"/>
      <c r="T241" s="11"/>
      <c r="U241" s="11"/>
    </row>
    <row r="242" spans="1:21" x14ac:dyDescent="0.2">
      <c r="A242" s="10"/>
      <c r="B242" s="14"/>
      <c r="K242" s="11"/>
      <c r="R242" s="11"/>
      <c r="S242" s="11"/>
      <c r="T242" s="11"/>
      <c r="U242" s="11"/>
    </row>
    <row r="243" spans="1:21" x14ac:dyDescent="0.2">
      <c r="A243" s="10"/>
      <c r="B243" s="14"/>
      <c r="K243" s="11"/>
      <c r="R243" s="11"/>
      <c r="S243" s="11"/>
      <c r="T243" s="11"/>
      <c r="U243" s="11"/>
    </row>
    <row r="244" spans="1:21" x14ac:dyDescent="0.2">
      <c r="A244" s="10"/>
      <c r="B244" s="14"/>
      <c r="K244" s="11"/>
      <c r="R244" s="11"/>
      <c r="S244" s="11"/>
      <c r="T244" s="11"/>
      <c r="U244" s="11"/>
    </row>
    <row r="245" spans="1:21" x14ac:dyDescent="0.2">
      <c r="A245" s="10"/>
      <c r="B245" s="14"/>
      <c r="K245" s="11"/>
      <c r="R245" s="11"/>
      <c r="S245" s="11"/>
      <c r="T245" s="11"/>
      <c r="U245" s="11"/>
    </row>
    <row r="246" spans="1:21" x14ac:dyDescent="0.2">
      <c r="A246" s="10"/>
      <c r="B246" s="14"/>
      <c r="K246" s="11"/>
      <c r="R246" s="11"/>
      <c r="S246" s="11"/>
      <c r="T246" s="11"/>
      <c r="U246" s="11"/>
    </row>
    <row r="247" spans="1:21" x14ac:dyDescent="0.2">
      <c r="A247" s="10"/>
      <c r="B247" s="14"/>
      <c r="K247" s="11"/>
      <c r="R247" s="11"/>
      <c r="S247" s="11"/>
      <c r="T247" s="11"/>
      <c r="U247" s="11"/>
    </row>
    <row r="248" spans="1:21" x14ac:dyDescent="0.2">
      <c r="A248" s="10"/>
      <c r="B248" s="14"/>
      <c r="K248" s="11"/>
      <c r="R248" s="11"/>
      <c r="S248" s="11"/>
      <c r="T248" s="11"/>
      <c r="U248" s="11"/>
    </row>
    <row r="249" spans="1:21" x14ac:dyDescent="0.2">
      <c r="A249" s="10"/>
      <c r="B249" s="14"/>
      <c r="K249" s="11"/>
      <c r="R249" s="11"/>
      <c r="S249" s="11"/>
      <c r="T249" s="11"/>
      <c r="U249" s="11"/>
    </row>
    <row r="250" spans="1:21" x14ac:dyDescent="0.2">
      <c r="A250" s="10"/>
      <c r="B250" s="14"/>
      <c r="R250" s="11"/>
      <c r="S250" s="11"/>
      <c r="T250" s="11"/>
      <c r="U250" s="11"/>
    </row>
    <row r="251" spans="1:21" x14ac:dyDescent="0.2">
      <c r="A251" s="10"/>
      <c r="B251" s="14"/>
      <c r="R251" s="11"/>
      <c r="S251" s="11"/>
      <c r="T251" s="11"/>
      <c r="U251" s="11"/>
    </row>
    <row r="252" spans="1:21" x14ac:dyDescent="0.2">
      <c r="A252" s="10"/>
      <c r="B252" s="14"/>
      <c r="R252" s="11"/>
      <c r="S252" s="11"/>
      <c r="T252" s="11"/>
      <c r="U252" s="11"/>
    </row>
    <row r="253" spans="1:21" x14ac:dyDescent="0.2">
      <c r="A253" s="10"/>
      <c r="B253" s="14"/>
      <c r="R253" s="11"/>
      <c r="S253" s="11"/>
      <c r="T253" s="11"/>
      <c r="U253" s="11"/>
    </row>
    <row r="254" spans="1:21" x14ac:dyDescent="0.2">
      <c r="A254" s="10"/>
      <c r="B254" s="14"/>
      <c r="R254" s="11"/>
      <c r="S254" s="11"/>
      <c r="T254" s="11"/>
      <c r="U254" s="11"/>
    </row>
    <row r="255" spans="1:21" x14ac:dyDescent="0.2">
      <c r="A255" s="10"/>
      <c r="B255" s="14"/>
      <c r="R255" s="11"/>
      <c r="S255" s="11"/>
      <c r="T255" s="11"/>
      <c r="U255" s="11"/>
    </row>
    <row r="256" spans="1:21" x14ac:dyDescent="0.2">
      <c r="A256" s="10"/>
      <c r="B256" s="14"/>
      <c r="R256" s="11"/>
      <c r="S256" s="11"/>
      <c r="T256" s="11"/>
      <c r="U256" s="11"/>
    </row>
    <row r="257" spans="1:21" x14ac:dyDescent="0.2">
      <c r="A257" s="10"/>
      <c r="B257" s="14"/>
      <c r="R257" s="11"/>
      <c r="S257" s="11"/>
      <c r="T257" s="11"/>
      <c r="U257" s="11"/>
    </row>
    <row r="258" spans="1:21" x14ac:dyDescent="0.2">
      <c r="A258" s="10"/>
      <c r="B258" s="14"/>
      <c r="R258" s="11"/>
      <c r="S258" s="11"/>
      <c r="T258" s="11"/>
      <c r="U258" s="11"/>
    </row>
    <row r="259" spans="1:21" x14ac:dyDescent="0.2">
      <c r="A259" s="10"/>
      <c r="B259" s="14"/>
      <c r="R259" s="11"/>
      <c r="S259" s="11"/>
      <c r="T259" s="11"/>
      <c r="U259" s="11"/>
    </row>
    <row r="260" spans="1:21" x14ac:dyDescent="0.2">
      <c r="A260" s="10"/>
      <c r="B260" s="14"/>
      <c r="R260" s="11"/>
      <c r="S260" s="11"/>
      <c r="T260" s="11"/>
      <c r="U260" s="11"/>
    </row>
    <row r="261" spans="1:21" x14ac:dyDescent="0.2">
      <c r="A261" s="10"/>
      <c r="B261" s="14"/>
      <c r="R261" s="11"/>
      <c r="S261" s="11"/>
      <c r="T261" s="11"/>
      <c r="U261" s="11"/>
    </row>
    <row r="262" spans="1:21" x14ac:dyDescent="0.2">
      <c r="A262" s="10"/>
      <c r="B262" s="14"/>
      <c r="R262" s="11"/>
      <c r="S262" s="11"/>
      <c r="T262" s="11"/>
      <c r="U262" s="11"/>
    </row>
    <row r="263" spans="1:21" x14ac:dyDescent="0.2">
      <c r="A263" s="10"/>
      <c r="B263" s="14"/>
      <c r="R263" s="11"/>
      <c r="S263" s="11"/>
      <c r="T263" s="11"/>
      <c r="U263" s="11"/>
    </row>
    <row r="264" spans="1:21" x14ac:dyDescent="0.2">
      <c r="A264" s="10"/>
      <c r="B264" s="14"/>
      <c r="R264" s="11"/>
      <c r="S264" s="11"/>
      <c r="T264" s="11"/>
      <c r="U264" s="11"/>
    </row>
    <row r="265" spans="1:21" x14ac:dyDescent="0.2">
      <c r="A265" s="10"/>
      <c r="B265" s="14"/>
      <c r="R265" s="11"/>
      <c r="S265" s="11"/>
      <c r="T265" s="11"/>
      <c r="U265" s="11"/>
    </row>
    <row r="266" spans="1:21" x14ac:dyDescent="0.2">
      <c r="A266" s="10"/>
      <c r="B266" s="14"/>
      <c r="R266" s="11"/>
      <c r="S266" s="11"/>
      <c r="T266" s="11"/>
      <c r="U266" s="11"/>
    </row>
    <row r="267" spans="1:21" x14ac:dyDescent="0.2">
      <c r="A267" s="10"/>
      <c r="B267" s="14"/>
      <c r="R267" s="11"/>
      <c r="S267" s="11"/>
      <c r="T267" s="11"/>
      <c r="U267" s="11"/>
    </row>
    <row r="268" spans="1:21" x14ac:dyDescent="0.2">
      <c r="A268" s="10"/>
      <c r="B268" s="14"/>
      <c r="R268" s="11"/>
      <c r="S268" s="11"/>
      <c r="T268" s="11"/>
      <c r="U268" s="11"/>
    </row>
    <row r="269" spans="1:21" x14ac:dyDescent="0.2">
      <c r="A269" s="10"/>
      <c r="B269" s="14"/>
      <c r="R269" s="11"/>
      <c r="S269" s="11"/>
      <c r="T269" s="11"/>
      <c r="U269" s="11"/>
    </row>
    <row r="270" spans="1:21" x14ac:dyDescent="0.2">
      <c r="A270" s="10"/>
      <c r="B270" s="14"/>
      <c r="R270" s="11"/>
      <c r="S270" s="11"/>
      <c r="T270" s="11"/>
      <c r="U270" s="11"/>
    </row>
    <row r="271" spans="1:21" x14ac:dyDescent="0.2">
      <c r="A271" s="10"/>
      <c r="B271" s="14"/>
      <c r="R271" s="11"/>
      <c r="S271" s="11"/>
      <c r="T271" s="11"/>
      <c r="U271" s="11"/>
    </row>
    <row r="272" spans="1:21" x14ac:dyDescent="0.2">
      <c r="A272" s="10"/>
      <c r="B272" s="14"/>
      <c r="R272" s="11"/>
      <c r="S272" s="11"/>
      <c r="T272" s="11"/>
      <c r="U272" s="11"/>
    </row>
    <row r="273" spans="1:21" x14ac:dyDescent="0.2">
      <c r="A273" s="10"/>
      <c r="B273" s="14"/>
      <c r="R273" s="11"/>
      <c r="S273" s="11"/>
      <c r="T273" s="11"/>
      <c r="U273" s="11"/>
    </row>
    <row r="274" spans="1:21" x14ac:dyDescent="0.2">
      <c r="A274" s="10"/>
      <c r="B274" s="14"/>
      <c r="R274" s="11"/>
      <c r="S274" s="11"/>
      <c r="T274" s="11"/>
      <c r="U274" s="11"/>
    </row>
    <row r="275" spans="1:21" x14ac:dyDescent="0.2">
      <c r="A275" s="10"/>
      <c r="B275" s="14"/>
      <c r="R275" s="11"/>
      <c r="S275" s="11"/>
      <c r="T275" s="11"/>
      <c r="U275" s="11"/>
    </row>
    <row r="276" spans="1:21" x14ac:dyDescent="0.2">
      <c r="A276" s="10"/>
      <c r="B276" s="14"/>
      <c r="R276" s="11"/>
      <c r="S276" s="11"/>
      <c r="T276" s="11"/>
      <c r="U276" s="11"/>
    </row>
    <row r="277" spans="1:21" x14ac:dyDescent="0.2">
      <c r="A277" s="10"/>
      <c r="B277" s="14"/>
      <c r="R277" s="11"/>
      <c r="S277" s="11"/>
      <c r="T277" s="11"/>
      <c r="U277" s="11"/>
    </row>
    <row r="278" spans="1:21" x14ac:dyDescent="0.2">
      <c r="A278" s="10"/>
      <c r="B278" s="14"/>
      <c r="R278" s="11"/>
      <c r="S278" s="11"/>
      <c r="T278" s="11"/>
      <c r="U278" s="11"/>
    </row>
    <row r="279" spans="1:21" x14ac:dyDescent="0.2">
      <c r="A279" s="10"/>
      <c r="B279" s="14"/>
      <c r="R279" s="11"/>
      <c r="S279" s="11"/>
      <c r="T279" s="11"/>
      <c r="U279" s="11"/>
    </row>
    <row r="280" spans="1:21" x14ac:dyDescent="0.2">
      <c r="A280" s="10"/>
      <c r="B280" s="14"/>
      <c r="R280" s="11"/>
      <c r="S280" s="11"/>
      <c r="T280" s="11"/>
      <c r="U280" s="11"/>
    </row>
    <row r="281" spans="1:21" x14ac:dyDescent="0.2">
      <c r="A281" s="10"/>
      <c r="B281" s="14"/>
      <c r="R281" s="11"/>
      <c r="S281" s="11"/>
      <c r="T281" s="11"/>
      <c r="U281" s="11"/>
    </row>
    <row r="282" spans="1:21" x14ac:dyDescent="0.2">
      <c r="A282" s="10"/>
      <c r="B282" s="14"/>
      <c r="R282" s="11"/>
      <c r="S282" s="11"/>
      <c r="T282" s="11"/>
      <c r="U282" s="11"/>
    </row>
    <row r="283" spans="1:21" x14ac:dyDescent="0.2">
      <c r="A283" s="10"/>
      <c r="B283" s="14"/>
      <c r="R283" s="11"/>
      <c r="S283" s="11"/>
      <c r="T283" s="11"/>
      <c r="U283" s="11"/>
    </row>
    <row r="284" spans="1:21" x14ac:dyDescent="0.2">
      <c r="A284" s="10"/>
      <c r="B284" s="14"/>
      <c r="R284" s="11"/>
      <c r="S284" s="11"/>
      <c r="T284" s="11"/>
      <c r="U284" s="11"/>
    </row>
    <row r="285" spans="1:21" x14ac:dyDescent="0.2">
      <c r="A285" s="10"/>
      <c r="B285" s="14"/>
      <c r="R285" s="11"/>
      <c r="S285" s="11"/>
      <c r="T285" s="11"/>
      <c r="U285" s="11"/>
    </row>
    <row r="286" spans="1:21" x14ac:dyDescent="0.2">
      <c r="A286" s="10"/>
      <c r="B286" s="14"/>
      <c r="R286" s="11"/>
      <c r="S286" s="11"/>
      <c r="T286" s="11"/>
      <c r="U286" s="11"/>
    </row>
    <row r="287" spans="1:21" x14ac:dyDescent="0.2">
      <c r="A287" s="10"/>
      <c r="B287" s="14"/>
      <c r="R287" s="11"/>
      <c r="S287" s="11"/>
      <c r="T287" s="11"/>
      <c r="U287" s="11"/>
    </row>
    <row r="288" spans="1:21" x14ac:dyDescent="0.2">
      <c r="A288" s="10"/>
      <c r="B288" s="14"/>
      <c r="R288" s="11"/>
      <c r="S288" s="11"/>
      <c r="T288" s="11"/>
      <c r="U288" s="11"/>
    </row>
    <row r="289" spans="1:21" x14ac:dyDescent="0.2">
      <c r="A289" s="10"/>
      <c r="B289" s="14"/>
      <c r="R289" s="11"/>
      <c r="S289" s="11"/>
      <c r="T289" s="11"/>
      <c r="U289" s="11"/>
    </row>
    <row r="290" spans="1:21" x14ac:dyDescent="0.2">
      <c r="A290" s="10"/>
      <c r="B290" s="14"/>
      <c r="R290" s="11"/>
      <c r="S290" s="11"/>
      <c r="T290" s="11"/>
      <c r="U290" s="11"/>
    </row>
    <row r="291" spans="1:21" x14ac:dyDescent="0.2">
      <c r="A291" s="10"/>
      <c r="B291" s="14"/>
      <c r="R291" s="11"/>
      <c r="S291" s="11"/>
      <c r="T291" s="11"/>
      <c r="U291" s="11"/>
    </row>
    <row r="292" spans="1:21" x14ac:dyDescent="0.2">
      <c r="A292" s="10"/>
      <c r="B292" s="14"/>
      <c r="R292" s="11"/>
      <c r="S292" s="11"/>
      <c r="T292" s="11"/>
      <c r="U292" s="11"/>
    </row>
    <row r="293" spans="1:21" x14ac:dyDescent="0.2">
      <c r="A293" s="10"/>
      <c r="B293" s="14"/>
      <c r="R293" s="11"/>
      <c r="S293" s="11"/>
      <c r="T293" s="11"/>
      <c r="U293" s="11"/>
    </row>
    <row r="294" spans="1:21" x14ac:dyDescent="0.2">
      <c r="A294" s="10"/>
      <c r="B294" s="14"/>
      <c r="R294" s="11"/>
      <c r="S294" s="11"/>
      <c r="T294" s="11"/>
      <c r="U294" s="11"/>
    </row>
    <row r="295" spans="1:21" x14ac:dyDescent="0.2">
      <c r="A295" s="10"/>
      <c r="B295" s="14"/>
      <c r="R295" s="11"/>
      <c r="S295" s="11"/>
      <c r="T295" s="11"/>
      <c r="U295" s="11"/>
    </row>
    <row r="296" spans="1:21" x14ac:dyDescent="0.2">
      <c r="A296" s="10"/>
      <c r="B296" s="14"/>
      <c r="R296" s="11"/>
      <c r="S296" s="11"/>
      <c r="T296" s="11"/>
      <c r="U296" s="11"/>
    </row>
    <row r="297" spans="1:21" x14ac:dyDescent="0.2">
      <c r="A297" s="10"/>
      <c r="B297" s="14"/>
      <c r="R297" s="11"/>
      <c r="S297" s="11"/>
      <c r="T297" s="11"/>
      <c r="U297" s="11"/>
    </row>
    <row r="298" spans="1:21" x14ac:dyDescent="0.2">
      <c r="A298" s="10"/>
      <c r="B298" s="14"/>
      <c r="R298" s="11"/>
      <c r="S298" s="11"/>
      <c r="T298" s="11"/>
      <c r="U298" s="11"/>
    </row>
    <row r="299" spans="1:21" x14ac:dyDescent="0.2">
      <c r="A299" s="10"/>
      <c r="B299" s="14"/>
      <c r="R299" s="11"/>
      <c r="S299" s="11"/>
      <c r="T299" s="11"/>
      <c r="U299" s="11"/>
    </row>
    <row r="300" spans="1:21" x14ac:dyDescent="0.2">
      <c r="A300" s="10"/>
      <c r="B300" s="14"/>
      <c r="R300" s="11"/>
      <c r="S300" s="11"/>
      <c r="T300" s="11"/>
      <c r="U300" s="11"/>
    </row>
    <row r="301" spans="1:21" x14ac:dyDescent="0.2">
      <c r="A301" s="10"/>
      <c r="B301" s="14"/>
      <c r="R301" s="11"/>
      <c r="S301" s="11"/>
      <c r="T301" s="11"/>
      <c r="U301" s="11"/>
    </row>
    <row r="302" spans="1:21" x14ac:dyDescent="0.2">
      <c r="A302" s="10"/>
      <c r="B302" s="14"/>
      <c r="R302" s="11"/>
      <c r="S302" s="11"/>
      <c r="T302" s="11"/>
      <c r="U302" s="11"/>
    </row>
    <row r="303" spans="1:21" x14ac:dyDescent="0.2">
      <c r="A303" s="10"/>
      <c r="B303" s="14"/>
      <c r="R303" s="11"/>
      <c r="S303" s="11"/>
      <c r="T303" s="11"/>
      <c r="U303" s="11"/>
    </row>
    <row r="304" spans="1:21" x14ac:dyDescent="0.2">
      <c r="A304" s="10"/>
      <c r="B304" s="14"/>
      <c r="R304" s="11"/>
      <c r="S304" s="11"/>
      <c r="T304" s="11"/>
      <c r="U304" s="11"/>
    </row>
    <row r="305" spans="1:21" x14ac:dyDescent="0.2">
      <c r="A305" s="10"/>
      <c r="B305" s="14"/>
      <c r="R305" s="11"/>
      <c r="S305" s="11"/>
      <c r="T305" s="11"/>
      <c r="U305" s="11"/>
    </row>
    <row r="306" spans="1:21" x14ac:dyDescent="0.2">
      <c r="A306" s="10"/>
      <c r="B306" s="14"/>
      <c r="R306" s="11"/>
      <c r="S306" s="11"/>
      <c r="T306" s="11"/>
      <c r="U306" s="11"/>
    </row>
    <row r="307" spans="1:21" x14ac:dyDescent="0.2">
      <c r="A307" s="10"/>
      <c r="B307" s="14"/>
      <c r="R307" s="11"/>
      <c r="S307" s="11"/>
      <c r="T307" s="11"/>
      <c r="U307" s="11"/>
    </row>
    <row r="308" spans="1:21" x14ac:dyDescent="0.2">
      <c r="A308" s="10"/>
      <c r="B308" s="14"/>
      <c r="R308" s="11"/>
      <c r="S308" s="11"/>
      <c r="T308" s="11"/>
      <c r="U308" s="11"/>
    </row>
    <row r="309" spans="1:21" x14ac:dyDescent="0.2">
      <c r="A309" s="10"/>
      <c r="B309" s="14"/>
      <c r="R309" s="11"/>
      <c r="S309" s="11"/>
      <c r="T309" s="11"/>
      <c r="U309" s="11"/>
    </row>
    <row r="310" spans="1:21" x14ac:dyDescent="0.2">
      <c r="A310" s="10"/>
      <c r="B310" s="14"/>
      <c r="R310" s="11"/>
      <c r="S310" s="11"/>
      <c r="T310" s="11"/>
      <c r="U310" s="11"/>
    </row>
    <row r="311" spans="1:21" x14ac:dyDescent="0.2">
      <c r="A311" s="10"/>
      <c r="B311" s="14"/>
      <c r="R311" s="11"/>
      <c r="S311" s="11"/>
      <c r="T311" s="11"/>
      <c r="U311" s="11"/>
    </row>
    <row r="312" spans="1:21" x14ac:dyDescent="0.2">
      <c r="A312" s="10"/>
      <c r="B312" s="14"/>
      <c r="R312" s="11"/>
      <c r="S312" s="11"/>
      <c r="T312" s="11"/>
      <c r="U312" s="11"/>
    </row>
    <row r="313" spans="1:21" x14ac:dyDescent="0.2">
      <c r="A313" s="10"/>
      <c r="B313" s="14"/>
      <c r="R313" s="11"/>
      <c r="S313" s="11"/>
      <c r="T313" s="11"/>
      <c r="U313" s="11"/>
    </row>
    <row r="314" spans="1:21" x14ac:dyDescent="0.2">
      <c r="A314" s="10"/>
      <c r="B314" s="14"/>
      <c r="R314" s="11"/>
      <c r="S314" s="11"/>
      <c r="T314" s="11"/>
      <c r="U314" s="11"/>
    </row>
    <row r="315" spans="1:21" x14ac:dyDescent="0.2">
      <c r="A315" s="10"/>
      <c r="B315" s="14"/>
      <c r="R315" s="11"/>
      <c r="S315" s="11"/>
      <c r="T315" s="11"/>
      <c r="U315" s="11"/>
    </row>
    <row r="316" spans="1:21" x14ac:dyDescent="0.2">
      <c r="A316" s="10"/>
      <c r="B316" s="14"/>
      <c r="R316" s="11"/>
      <c r="S316" s="11"/>
      <c r="T316" s="11"/>
      <c r="U316" s="11"/>
    </row>
    <row r="317" spans="1:21" x14ac:dyDescent="0.2">
      <c r="A317" s="10"/>
      <c r="B317" s="14"/>
      <c r="R317" s="11"/>
      <c r="S317" s="11"/>
      <c r="T317" s="11"/>
      <c r="U317" s="11"/>
    </row>
    <row r="318" spans="1:21" x14ac:dyDescent="0.2">
      <c r="A318" s="10"/>
      <c r="B318" s="14"/>
      <c r="R318" s="11"/>
      <c r="S318" s="11"/>
      <c r="T318" s="11"/>
      <c r="U318" s="11"/>
    </row>
    <row r="319" spans="1:21" x14ac:dyDescent="0.2">
      <c r="A319" s="10"/>
      <c r="B319" s="14"/>
      <c r="R319" s="11"/>
      <c r="S319" s="11"/>
      <c r="T319" s="11"/>
      <c r="U319" s="11"/>
    </row>
    <row r="320" spans="1:21" x14ac:dyDescent="0.2">
      <c r="A320" s="10"/>
      <c r="B320" s="14"/>
      <c r="R320" s="11"/>
      <c r="S320" s="11"/>
      <c r="T320" s="11"/>
      <c r="U320" s="11"/>
    </row>
    <row r="321" spans="1:21" x14ac:dyDescent="0.2">
      <c r="A321" s="10"/>
      <c r="B321" s="14"/>
      <c r="R321" s="11"/>
      <c r="S321" s="11"/>
      <c r="T321" s="11"/>
      <c r="U321" s="11"/>
    </row>
    <row r="322" spans="1:21" x14ac:dyDescent="0.2">
      <c r="A322" s="10"/>
      <c r="B322" s="14"/>
      <c r="R322" s="11"/>
      <c r="S322" s="11"/>
      <c r="T322" s="11"/>
      <c r="U322" s="11"/>
    </row>
    <row r="323" spans="1:21" x14ac:dyDescent="0.2">
      <c r="A323" s="10"/>
      <c r="B323" s="14"/>
      <c r="R323" s="11"/>
      <c r="S323" s="11"/>
      <c r="T323" s="11"/>
      <c r="U323" s="11"/>
    </row>
    <row r="324" spans="1:21" x14ac:dyDescent="0.2">
      <c r="A324" s="10"/>
      <c r="B324" s="14"/>
      <c r="R324" s="11"/>
      <c r="S324" s="11"/>
      <c r="T324" s="11"/>
      <c r="U324" s="11"/>
    </row>
    <row r="325" spans="1:21" x14ac:dyDescent="0.2">
      <c r="A325" s="10"/>
      <c r="B325" s="14"/>
      <c r="R325" s="11"/>
      <c r="S325" s="11"/>
      <c r="T325" s="11"/>
      <c r="U325" s="11"/>
    </row>
    <row r="326" spans="1:21" x14ac:dyDescent="0.2">
      <c r="A326" s="10"/>
      <c r="B326" s="14"/>
      <c r="R326" s="11"/>
      <c r="S326" s="11"/>
      <c r="T326" s="11"/>
      <c r="U326" s="11"/>
    </row>
    <row r="327" spans="1:21" x14ac:dyDescent="0.2">
      <c r="A327" s="10"/>
      <c r="B327" s="14"/>
      <c r="R327" s="11"/>
      <c r="S327" s="11"/>
      <c r="T327" s="11"/>
      <c r="U327" s="11"/>
    </row>
    <row r="328" spans="1:21" x14ac:dyDescent="0.2">
      <c r="A328" s="10"/>
      <c r="B328" s="14"/>
      <c r="R328" s="11"/>
      <c r="S328" s="11"/>
      <c r="T328" s="11"/>
      <c r="U328" s="11"/>
    </row>
    <row r="329" spans="1:21" x14ac:dyDescent="0.2">
      <c r="A329" s="10"/>
      <c r="B329" s="14"/>
      <c r="R329" s="11"/>
      <c r="S329" s="11"/>
      <c r="T329" s="11"/>
      <c r="U329" s="11"/>
    </row>
    <row r="330" spans="1:21" x14ac:dyDescent="0.2">
      <c r="A330" s="10"/>
      <c r="B330" s="14"/>
      <c r="R330" s="11"/>
      <c r="S330" s="11"/>
      <c r="T330" s="11"/>
      <c r="U330" s="11"/>
    </row>
    <row r="331" spans="1:21" x14ac:dyDescent="0.2">
      <c r="A331" s="10"/>
      <c r="B331" s="14"/>
      <c r="R331" s="11"/>
      <c r="S331" s="11"/>
      <c r="T331" s="11"/>
      <c r="U331" s="11"/>
    </row>
    <row r="332" spans="1:21" x14ac:dyDescent="0.2">
      <c r="A332" s="10"/>
      <c r="B332" s="14"/>
      <c r="R332" s="11"/>
      <c r="S332" s="11"/>
      <c r="T332" s="11"/>
      <c r="U332" s="11"/>
    </row>
    <row r="333" spans="1:21" x14ac:dyDescent="0.2">
      <c r="A333" s="10"/>
      <c r="B333" s="14"/>
      <c r="R333" s="11"/>
      <c r="S333" s="11"/>
      <c r="T333" s="11"/>
      <c r="U333" s="11"/>
    </row>
    <row r="334" spans="1:21" x14ac:dyDescent="0.2">
      <c r="A334" s="10"/>
      <c r="B334" s="14"/>
      <c r="R334" s="11"/>
      <c r="S334" s="11"/>
      <c r="T334" s="11"/>
      <c r="U334" s="11"/>
    </row>
    <row r="335" spans="1:21" x14ac:dyDescent="0.2">
      <c r="A335" s="10"/>
      <c r="B335" s="14"/>
      <c r="R335" s="11"/>
      <c r="S335" s="11"/>
      <c r="T335" s="11"/>
      <c r="U335" s="11"/>
    </row>
    <row r="336" spans="1:21" x14ac:dyDescent="0.2">
      <c r="A336" s="10"/>
      <c r="B336" s="14"/>
      <c r="R336" s="11"/>
      <c r="S336" s="11"/>
      <c r="T336" s="11"/>
      <c r="U336" s="11"/>
    </row>
    <row r="337" spans="1:21" x14ac:dyDescent="0.2">
      <c r="A337" s="10"/>
      <c r="B337" s="14"/>
      <c r="R337" s="11"/>
      <c r="S337" s="11"/>
      <c r="T337" s="11"/>
      <c r="U337" s="11"/>
    </row>
    <row r="338" spans="1:21" x14ac:dyDescent="0.2">
      <c r="A338" s="10"/>
      <c r="B338" s="14"/>
      <c r="R338" s="11"/>
      <c r="S338" s="11"/>
      <c r="T338" s="11"/>
      <c r="U338" s="11"/>
    </row>
    <row r="339" spans="1:21" x14ac:dyDescent="0.2">
      <c r="A339" s="10"/>
      <c r="B339" s="14"/>
      <c r="R339" s="11"/>
      <c r="S339" s="11"/>
      <c r="T339" s="11"/>
      <c r="U339" s="11"/>
    </row>
    <row r="340" spans="1:21" x14ac:dyDescent="0.2">
      <c r="A340" s="10"/>
      <c r="B340" s="14"/>
      <c r="R340" s="11"/>
      <c r="S340" s="11"/>
      <c r="T340" s="11"/>
      <c r="U340" s="11"/>
    </row>
    <row r="341" spans="1:21" x14ac:dyDescent="0.2">
      <c r="A341" s="10"/>
      <c r="B341" s="14"/>
      <c r="R341" s="11"/>
      <c r="S341" s="11"/>
      <c r="T341" s="11"/>
      <c r="U341" s="11"/>
    </row>
    <row r="342" spans="1:21" x14ac:dyDescent="0.2">
      <c r="A342" s="10"/>
      <c r="B342" s="14"/>
      <c r="R342" s="11"/>
      <c r="S342" s="11"/>
      <c r="T342" s="11"/>
      <c r="U342" s="11"/>
    </row>
    <row r="343" spans="1:21" x14ac:dyDescent="0.2">
      <c r="A343" s="10"/>
      <c r="B343" s="14"/>
      <c r="R343" s="11"/>
      <c r="S343" s="11"/>
      <c r="T343" s="11"/>
      <c r="U343" s="11"/>
    </row>
    <row r="344" spans="1:21" x14ac:dyDescent="0.2">
      <c r="A344" s="10"/>
      <c r="B344" s="14"/>
      <c r="R344" s="11"/>
      <c r="S344" s="11"/>
      <c r="T344" s="11"/>
      <c r="U344" s="11"/>
    </row>
    <row r="345" spans="1:21" x14ac:dyDescent="0.2">
      <c r="A345" s="10"/>
      <c r="B345" s="14"/>
      <c r="R345" s="11"/>
      <c r="S345" s="11"/>
      <c r="T345" s="11"/>
      <c r="U345" s="11"/>
    </row>
    <row r="346" spans="1:21" x14ac:dyDescent="0.2">
      <c r="A346" s="10"/>
      <c r="B346" s="14"/>
      <c r="R346" s="11"/>
      <c r="S346" s="11"/>
      <c r="T346" s="11"/>
      <c r="U346" s="11"/>
    </row>
    <row r="347" spans="1:21" x14ac:dyDescent="0.2">
      <c r="A347" s="10"/>
      <c r="B347" s="14"/>
      <c r="R347" s="11"/>
      <c r="S347" s="11"/>
      <c r="T347" s="11"/>
      <c r="U347" s="11"/>
    </row>
    <row r="348" spans="1:21" x14ac:dyDescent="0.2">
      <c r="A348" s="10"/>
      <c r="B348" s="14"/>
      <c r="R348" s="11"/>
      <c r="S348" s="11"/>
      <c r="T348" s="11"/>
      <c r="U348" s="11"/>
    </row>
    <row r="349" spans="1:21" x14ac:dyDescent="0.2">
      <c r="A349" s="10"/>
      <c r="B349" s="14"/>
      <c r="R349" s="11"/>
      <c r="S349" s="11"/>
      <c r="T349" s="11"/>
      <c r="U349" s="11"/>
    </row>
    <row r="350" spans="1:21" x14ac:dyDescent="0.2">
      <c r="A350" s="10"/>
      <c r="B350" s="14"/>
      <c r="R350" s="11"/>
      <c r="S350" s="11"/>
      <c r="T350" s="11"/>
      <c r="U350" s="11"/>
    </row>
    <row r="351" spans="1:21" x14ac:dyDescent="0.2">
      <c r="A351" s="10"/>
      <c r="B351" s="14"/>
      <c r="R351" s="11"/>
      <c r="S351" s="11"/>
      <c r="T351" s="11"/>
      <c r="U351" s="11"/>
    </row>
    <row r="352" spans="1:21" x14ac:dyDescent="0.2">
      <c r="A352" s="10"/>
      <c r="B352" s="14"/>
      <c r="R352" s="11"/>
      <c r="S352" s="11"/>
      <c r="T352" s="11"/>
      <c r="U352" s="11"/>
    </row>
    <row r="353" spans="1:21" x14ac:dyDescent="0.2">
      <c r="A353" s="10"/>
      <c r="B353" s="14"/>
      <c r="R353" s="11"/>
      <c r="S353" s="11"/>
      <c r="T353" s="11"/>
      <c r="U353" s="11"/>
    </row>
    <row r="354" spans="1:21" x14ac:dyDescent="0.2">
      <c r="A354" s="10"/>
      <c r="B354" s="14"/>
      <c r="R354" s="11"/>
      <c r="S354" s="11"/>
      <c r="T354" s="11"/>
      <c r="U354" s="11"/>
    </row>
    <row r="355" spans="1:21" x14ac:dyDescent="0.2">
      <c r="A355" s="10"/>
      <c r="B355" s="14"/>
      <c r="R355" s="11"/>
      <c r="S355" s="11"/>
      <c r="T355" s="11"/>
      <c r="U355" s="11"/>
    </row>
    <row r="356" spans="1:21" x14ac:dyDescent="0.2">
      <c r="A356" s="10"/>
      <c r="B356" s="14"/>
      <c r="R356" s="11"/>
      <c r="S356" s="11"/>
      <c r="T356" s="11"/>
      <c r="U356" s="11"/>
    </row>
    <row r="357" spans="1:21" x14ac:dyDescent="0.2">
      <c r="A357" s="10"/>
      <c r="B357" s="14"/>
      <c r="R357" s="11"/>
      <c r="S357" s="11"/>
      <c r="T357" s="11"/>
      <c r="U357" s="11"/>
    </row>
    <row r="358" spans="1:21" x14ac:dyDescent="0.2">
      <c r="A358" s="10"/>
      <c r="B358" s="14"/>
      <c r="R358" s="11"/>
      <c r="S358" s="11"/>
      <c r="T358" s="11"/>
      <c r="U358" s="11"/>
    </row>
    <row r="359" spans="1:21" x14ac:dyDescent="0.2">
      <c r="A359" s="10"/>
      <c r="B359" s="14"/>
      <c r="R359" s="11"/>
      <c r="S359" s="11"/>
      <c r="T359" s="11"/>
      <c r="U359" s="11"/>
    </row>
    <row r="360" spans="1:21" x14ac:dyDescent="0.2">
      <c r="A360" s="10"/>
      <c r="B360" s="14"/>
      <c r="R360" s="11"/>
      <c r="S360" s="11"/>
      <c r="T360" s="11"/>
      <c r="U360" s="11"/>
    </row>
    <row r="361" spans="1:21" x14ac:dyDescent="0.2">
      <c r="A361" s="10"/>
      <c r="B361" s="14"/>
      <c r="R361" s="11"/>
      <c r="S361" s="11"/>
      <c r="T361" s="11"/>
      <c r="U361" s="11"/>
    </row>
    <row r="362" spans="1:21" x14ac:dyDescent="0.2">
      <c r="A362" s="10"/>
      <c r="B362" s="14"/>
      <c r="R362" s="11"/>
      <c r="S362" s="11"/>
      <c r="T362" s="11"/>
      <c r="U362" s="11"/>
    </row>
    <row r="363" spans="1:21" x14ac:dyDescent="0.2">
      <c r="A363" s="10"/>
      <c r="B363" s="14"/>
      <c r="R363" s="11"/>
      <c r="S363" s="11"/>
      <c r="T363" s="11"/>
      <c r="U363" s="11"/>
    </row>
    <row r="364" spans="1:21" x14ac:dyDescent="0.2">
      <c r="A364" s="10"/>
      <c r="B364" s="14"/>
      <c r="R364" s="11"/>
      <c r="S364" s="11"/>
      <c r="T364" s="11"/>
      <c r="U364" s="11"/>
    </row>
    <row r="365" spans="1:21" x14ac:dyDescent="0.2">
      <c r="A365" s="10"/>
      <c r="B365" s="14"/>
      <c r="R365" s="11"/>
      <c r="S365" s="11"/>
      <c r="T365" s="11"/>
      <c r="U365" s="11"/>
    </row>
    <row r="366" spans="1:21" x14ac:dyDescent="0.2">
      <c r="A366" s="10"/>
      <c r="B366" s="14"/>
      <c r="R366" s="11"/>
      <c r="S366" s="11"/>
      <c r="T366" s="11"/>
      <c r="U366" s="11"/>
    </row>
    <row r="367" spans="1:21" x14ac:dyDescent="0.2">
      <c r="A367" s="10"/>
      <c r="B367" s="14"/>
      <c r="R367" s="11"/>
      <c r="S367" s="11"/>
      <c r="T367" s="11"/>
      <c r="U367" s="11"/>
    </row>
    <row r="368" spans="1:21" x14ac:dyDescent="0.2">
      <c r="A368" s="10"/>
      <c r="B368" s="14"/>
      <c r="R368" s="11"/>
      <c r="S368" s="11"/>
      <c r="T368" s="11"/>
      <c r="U368" s="11"/>
    </row>
    <row r="369" spans="1:21" x14ac:dyDescent="0.2">
      <c r="A369" s="10"/>
      <c r="B369" s="14"/>
      <c r="R369" s="11"/>
      <c r="S369" s="11"/>
      <c r="T369" s="11"/>
      <c r="U369" s="11"/>
    </row>
    <row r="370" spans="1:21" x14ac:dyDescent="0.2">
      <c r="A370" s="10"/>
      <c r="B370" s="14"/>
      <c r="R370" s="11"/>
      <c r="S370" s="11"/>
      <c r="T370" s="11"/>
      <c r="U370" s="11"/>
    </row>
    <row r="371" spans="1:21" x14ac:dyDescent="0.2">
      <c r="A371" s="10"/>
      <c r="B371" s="14"/>
      <c r="R371" s="11"/>
      <c r="S371" s="11"/>
      <c r="T371" s="11"/>
      <c r="U371" s="11"/>
    </row>
    <row r="372" spans="1:21" x14ac:dyDescent="0.2">
      <c r="A372" s="10"/>
      <c r="B372" s="14"/>
      <c r="R372" s="11"/>
      <c r="S372" s="11"/>
      <c r="T372" s="11"/>
      <c r="U372" s="11"/>
    </row>
    <row r="373" spans="1:21" x14ac:dyDescent="0.2">
      <c r="A373" s="10"/>
      <c r="B373" s="14"/>
      <c r="R373" s="11"/>
      <c r="S373" s="11"/>
      <c r="T373" s="11"/>
      <c r="U373" s="11"/>
    </row>
    <row r="374" spans="1:21" x14ac:dyDescent="0.2">
      <c r="A374" s="10"/>
      <c r="B374" s="14"/>
      <c r="R374" s="11"/>
      <c r="S374" s="11"/>
      <c r="T374" s="11"/>
      <c r="U374" s="11"/>
    </row>
    <row r="375" spans="1:21" x14ac:dyDescent="0.2">
      <c r="A375" s="10"/>
      <c r="B375" s="14"/>
      <c r="R375" s="11"/>
      <c r="S375" s="11"/>
      <c r="T375" s="11"/>
      <c r="U375" s="11"/>
    </row>
    <row r="376" spans="1:21" x14ac:dyDescent="0.2">
      <c r="A376" s="10"/>
      <c r="B376" s="14"/>
      <c r="R376" s="11"/>
      <c r="S376" s="11"/>
      <c r="T376" s="11"/>
      <c r="U376" s="11"/>
    </row>
    <row r="377" spans="1:21" x14ac:dyDescent="0.2">
      <c r="A377" s="10"/>
      <c r="B377" s="14"/>
      <c r="R377" s="11"/>
      <c r="S377" s="11"/>
      <c r="T377" s="11"/>
      <c r="U377" s="11"/>
    </row>
    <row r="378" spans="1:21" x14ac:dyDescent="0.2">
      <c r="A378" s="10"/>
      <c r="B378" s="14"/>
      <c r="R378" s="11"/>
      <c r="S378" s="11"/>
      <c r="T378" s="11"/>
      <c r="U378" s="11"/>
    </row>
    <row r="379" spans="1:21" x14ac:dyDescent="0.2">
      <c r="A379" s="10"/>
      <c r="B379" s="14"/>
      <c r="R379" s="11"/>
      <c r="S379" s="11"/>
      <c r="T379" s="11"/>
      <c r="U379" s="11"/>
    </row>
    <row r="380" spans="1:21" x14ac:dyDescent="0.2">
      <c r="A380" s="10"/>
      <c r="B380" s="14"/>
      <c r="R380" s="11"/>
      <c r="S380" s="11"/>
      <c r="T380" s="11"/>
      <c r="U380" s="11"/>
    </row>
    <row r="381" spans="1:21" x14ac:dyDescent="0.2">
      <c r="A381" s="10"/>
      <c r="B381" s="14"/>
      <c r="R381" s="11"/>
      <c r="S381" s="11"/>
      <c r="T381" s="11"/>
      <c r="U381" s="11"/>
    </row>
    <row r="382" spans="1:21" x14ac:dyDescent="0.2">
      <c r="A382" s="10"/>
      <c r="B382" s="14"/>
      <c r="R382" s="11"/>
      <c r="S382" s="11"/>
      <c r="T382" s="11"/>
      <c r="U382" s="11"/>
    </row>
    <row r="383" spans="1:21" x14ac:dyDescent="0.2">
      <c r="A383" s="10"/>
      <c r="B383" s="14"/>
      <c r="R383" s="11"/>
      <c r="S383" s="11"/>
      <c r="T383" s="11"/>
      <c r="U383" s="11"/>
    </row>
    <row r="384" spans="1:21" x14ac:dyDescent="0.2">
      <c r="A384" s="10"/>
      <c r="B384" s="14"/>
      <c r="R384" s="11"/>
      <c r="S384" s="11"/>
      <c r="T384" s="11"/>
      <c r="U384" s="11"/>
    </row>
    <row r="385" spans="1:21" x14ac:dyDescent="0.2">
      <c r="A385" s="10"/>
      <c r="B385" s="14"/>
      <c r="R385" s="11"/>
      <c r="S385" s="11"/>
      <c r="T385" s="11"/>
      <c r="U385" s="11"/>
    </row>
    <row r="386" spans="1:21" x14ac:dyDescent="0.2">
      <c r="A386" s="10"/>
      <c r="B386" s="14"/>
      <c r="R386" s="11"/>
      <c r="S386" s="11"/>
      <c r="T386" s="11"/>
      <c r="U386" s="11"/>
    </row>
    <row r="387" spans="1:21" x14ac:dyDescent="0.2">
      <c r="A387" s="10"/>
      <c r="B387" s="14"/>
      <c r="R387" s="11"/>
      <c r="S387" s="11"/>
      <c r="T387" s="11"/>
      <c r="U387" s="11"/>
    </row>
    <row r="388" spans="1:21" x14ac:dyDescent="0.2">
      <c r="A388" s="10"/>
      <c r="B388" s="14"/>
      <c r="R388" s="11"/>
      <c r="S388" s="11"/>
      <c r="T388" s="11"/>
      <c r="U388" s="11"/>
    </row>
    <row r="389" spans="1:21" x14ac:dyDescent="0.2">
      <c r="A389" s="10"/>
      <c r="B389" s="14"/>
      <c r="R389" s="11"/>
      <c r="S389" s="11"/>
      <c r="T389" s="11"/>
      <c r="U389" s="11"/>
    </row>
    <row r="390" spans="1:21" x14ac:dyDescent="0.2">
      <c r="A390" s="10"/>
      <c r="B390" s="14"/>
      <c r="R390" s="11"/>
      <c r="S390" s="11"/>
      <c r="T390" s="11"/>
      <c r="U390" s="11"/>
    </row>
    <row r="391" spans="1:21" x14ac:dyDescent="0.2">
      <c r="A391" s="10"/>
      <c r="B391" s="14"/>
      <c r="R391" s="11"/>
      <c r="S391" s="11"/>
      <c r="T391" s="11"/>
      <c r="U391" s="11"/>
    </row>
    <row r="392" spans="1:21" x14ac:dyDescent="0.2">
      <c r="A392" s="10"/>
      <c r="B392" s="14"/>
      <c r="R392" s="11"/>
      <c r="S392" s="11"/>
      <c r="T392" s="11"/>
      <c r="U392" s="11"/>
    </row>
    <row r="393" spans="1:21" x14ac:dyDescent="0.2">
      <c r="A393" s="10"/>
      <c r="B393" s="14"/>
      <c r="R393" s="11"/>
      <c r="S393" s="11"/>
      <c r="T393" s="11"/>
      <c r="U393" s="11"/>
    </row>
    <row r="394" spans="1:21" x14ac:dyDescent="0.2">
      <c r="A394" s="10"/>
      <c r="B394" s="14"/>
      <c r="R394" s="11"/>
      <c r="S394" s="11"/>
      <c r="T394" s="11"/>
      <c r="U394" s="11"/>
    </row>
    <row r="395" spans="1:21" x14ac:dyDescent="0.2">
      <c r="A395" s="10"/>
      <c r="B395" s="14"/>
      <c r="R395" s="11"/>
      <c r="S395" s="11"/>
      <c r="T395" s="11"/>
      <c r="U395" s="11"/>
    </row>
    <row r="396" spans="1:21" x14ac:dyDescent="0.2">
      <c r="A396" s="10"/>
      <c r="B396" s="14"/>
      <c r="R396" s="11"/>
      <c r="S396" s="11"/>
      <c r="T396" s="11"/>
      <c r="U396" s="11"/>
    </row>
    <row r="397" spans="1:21" x14ac:dyDescent="0.2">
      <c r="A397" s="10"/>
      <c r="B397" s="14"/>
      <c r="R397" s="11"/>
      <c r="S397" s="11"/>
      <c r="T397" s="11"/>
      <c r="U397" s="11"/>
    </row>
    <row r="398" spans="1:21" x14ac:dyDescent="0.2">
      <c r="A398" s="10"/>
      <c r="B398" s="14"/>
      <c r="R398" s="11"/>
      <c r="S398" s="11"/>
      <c r="T398" s="11"/>
      <c r="U398" s="11"/>
    </row>
    <row r="399" spans="1:21" x14ac:dyDescent="0.2">
      <c r="A399" s="10"/>
      <c r="B399" s="14"/>
      <c r="R399" s="11"/>
      <c r="S399" s="11"/>
      <c r="T399" s="11"/>
      <c r="U399" s="11"/>
    </row>
    <row r="400" spans="1:21" x14ac:dyDescent="0.2">
      <c r="A400" s="10"/>
      <c r="B400" s="14"/>
      <c r="R400" s="11"/>
      <c r="S400" s="11"/>
      <c r="T400" s="11"/>
      <c r="U400" s="11"/>
    </row>
    <row r="401" spans="1:21" x14ac:dyDescent="0.2">
      <c r="A401" s="10"/>
      <c r="B401" s="14"/>
      <c r="R401" s="11"/>
      <c r="S401" s="11"/>
      <c r="T401" s="11"/>
      <c r="U401" s="11"/>
    </row>
    <row r="402" spans="1:21" x14ac:dyDescent="0.2">
      <c r="A402" s="10"/>
      <c r="B402" s="14"/>
      <c r="R402" s="11"/>
      <c r="S402" s="11"/>
      <c r="T402" s="11"/>
      <c r="U402" s="11"/>
    </row>
    <row r="403" spans="1:21" x14ac:dyDescent="0.2">
      <c r="A403" s="10"/>
      <c r="B403" s="14"/>
      <c r="R403" s="11"/>
      <c r="S403" s="11"/>
      <c r="T403" s="11"/>
      <c r="U403" s="11"/>
    </row>
    <row r="404" spans="1:21" x14ac:dyDescent="0.2">
      <c r="A404" s="10"/>
      <c r="B404" s="14"/>
      <c r="R404" s="11"/>
      <c r="S404" s="11"/>
      <c r="T404" s="11"/>
      <c r="U404" s="11"/>
    </row>
    <row r="405" spans="1:21" x14ac:dyDescent="0.2">
      <c r="A405" s="10"/>
      <c r="B405" s="14"/>
      <c r="R405" s="11"/>
      <c r="S405" s="11"/>
      <c r="T405" s="11"/>
      <c r="U405" s="11"/>
    </row>
    <row r="406" spans="1:21" x14ac:dyDescent="0.2">
      <c r="A406" s="10"/>
      <c r="B406" s="14"/>
      <c r="R406" s="11"/>
      <c r="S406" s="11"/>
      <c r="T406" s="11"/>
      <c r="U406" s="11"/>
    </row>
    <row r="407" spans="1:21" x14ac:dyDescent="0.2">
      <c r="A407" s="10"/>
      <c r="B407" s="14"/>
      <c r="R407" s="11"/>
      <c r="S407" s="11"/>
      <c r="T407" s="11"/>
      <c r="U407" s="11"/>
    </row>
    <row r="408" spans="1:21" x14ac:dyDescent="0.2">
      <c r="A408" s="10"/>
      <c r="B408" s="14"/>
      <c r="R408" s="11"/>
      <c r="S408" s="11"/>
      <c r="T408" s="11"/>
      <c r="U408" s="11"/>
    </row>
    <row r="409" spans="1:21" x14ac:dyDescent="0.2">
      <c r="A409" s="10"/>
      <c r="B409" s="14"/>
      <c r="R409" s="11"/>
      <c r="S409" s="11"/>
      <c r="T409" s="11"/>
      <c r="U409" s="11"/>
    </row>
    <row r="410" spans="1:21" x14ac:dyDescent="0.2">
      <c r="A410" s="10"/>
      <c r="B410" s="14"/>
      <c r="R410" s="11"/>
      <c r="S410" s="11"/>
      <c r="T410" s="11"/>
      <c r="U410" s="11"/>
    </row>
    <row r="411" spans="1:21" x14ac:dyDescent="0.2">
      <c r="A411" s="10"/>
      <c r="B411" s="14"/>
      <c r="R411" s="11"/>
      <c r="S411" s="11"/>
      <c r="T411" s="11"/>
      <c r="U411" s="11"/>
    </row>
    <row r="412" spans="1:21" x14ac:dyDescent="0.2">
      <c r="A412" s="10"/>
      <c r="B412" s="14"/>
      <c r="R412" s="11"/>
      <c r="S412" s="11"/>
      <c r="T412" s="11"/>
      <c r="U412" s="11"/>
    </row>
    <row r="413" spans="1:21" x14ac:dyDescent="0.2">
      <c r="A413" s="10"/>
      <c r="B413" s="14"/>
      <c r="R413" s="11"/>
      <c r="S413" s="11"/>
      <c r="T413" s="11"/>
      <c r="U413" s="11"/>
    </row>
    <row r="414" spans="1:21" x14ac:dyDescent="0.2">
      <c r="A414" s="10"/>
      <c r="B414" s="14"/>
      <c r="R414" s="11"/>
      <c r="S414" s="11"/>
      <c r="T414" s="11"/>
      <c r="U414" s="11"/>
    </row>
    <row r="415" spans="1:21" x14ac:dyDescent="0.2">
      <c r="A415" s="10"/>
      <c r="B415" s="14"/>
      <c r="R415" s="11"/>
      <c r="S415" s="11"/>
      <c r="T415" s="11"/>
      <c r="U415" s="11"/>
    </row>
    <row r="416" spans="1:21" x14ac:dyDescent="0.2">
      <c r="A416" s="10"/>
      <c r="B416" s="14"/>
      <c r="R416" s="11"/>
      <c r="S416" s="11"/>
      <c r="T416" s="11"/>
      <c r="U416" s="11"/>
    </row>
    <row r="417" spans="1:21" x14ac:dyDescent="0.2">
      <c r="A417" s="10"/>
      <c r="B417" s="14"/>
      <c r="R417" s="11"/>
      <c r="S417" s="11"/>
      <c r="T417" s="11"/>
      <c r="U417" s="11"/>
    </row>
    <row r="418" spans="1:21" x14ac:dyDescent="0.2">
      <c r="A418" s="10"/>
      <c r="B418" s="14"/>
      <c r="R418" s="11"/>
      <c r="S418" s="11"/>
      <c r="T418" s="11"/>
      <c r="U418" s="11"/>
    </row>
    <row r="419" spans="1:21" x14ac:dyDescent="0.2">
      <c r="A419" s="10"/>
      <c r="B419" s="14"/>
      <c r="R419" s="11"/>
      <c r="S419" s="11"/>
      <c r="T419" s="11"/>
      <c r="U419" s="11"/>
    </row>
    <row r="420" spans="1:21" x14ac:dyDescent="0.2">
      <c r="A420" s="10"/>
      <c r="B420" s="14"/>
      <c r="R420" s="11"/>
      <c r="S420" s="11"/>
      <c r="T420" s="11"/>
      <c r="U420" s="11"/>
    </row>
    <row r="421" spans="1:21" x14ac:dyDescent="0.2">
      <c r="A421" s="10"/>
      <c r="B421" s="14"/>
      <c r="R421" s="11"/>
      <c r="S421" s="11"/>
      <c r="T421" s="11"/>
      <c r="U421" s="11"/>
    </row>
    <row r="422" spans="1:21" x14ac:dyDescent="0.2">
      <c r="A422" s="10"/>
      <c r="B422" s="14"/>
      <c r="R422" s="11"/>
      <c r="S422" s="11"/>
      <c r="T422" s="11"/>
      <c r="U422" s="11"/>
    </row>
    <row r="423" spans="1:21" x14ac:dyDescent="0.2">
      <c r="A423" s="10"/>
      <c r="B423" s="14"/>
      <c r="R423" s="11"/>
      <c r="S423" s="11"/>
      <c r="T423" s="11"/>
      <c r="U423" s="11"/>
    </row>
    <row r="424" spans="1:21" x14ac:dyDescent="0.2">
      <c r="A424" s="10"/>
      <c r="B424" s="14"/>
      <c r="R424" s="11"/>
      <c r="S424" s="11"/>
      <c r="T424" s="11"/>
      <c r="U424" s="11"/>
    </row>
    <row r="425" spans="1:21" x14ac:dyDescent="0.2">
      <c r="A425" s="10"/>
      <c r="B425" s="14"/>
      <c r="R425" s="11"/>
      <c r="S425" s="11"/>
      <c r="T425" s="11"/>
      <c r="U425" s="11"/>
    </row>
    <row r="426" spans="1:21" x14ac:dyDescent="0.2">
      <c r="A426" s="10"/>
      <c r="B426" s="14"/>
      <c r="R426" s="11"/>
      <c r="S426" s="11"/>
      <c r="T426" s="11"/>
      <c r="U426" s="11"/>
    </row>
    <row r="427" spans="1:21" x14ac:dyDescent="0.2">
      <c r="A427" s="10"/>
      <c r="B427" s="14"/>
      <c r="R427" s="11"/>
      <c r="S427" s="11"/>
      <c r="T427" s="11"/>
      <c r="U427" s="11"/>
    </row>
    <row r="428" spans="1:21" x14ac:dyDescent="0.2">
      <c r="A428" s="10"/>
      <c r="B428" s="14"/>
      <c r="R428" s="11"/>
      <c r="S428" s="11"/>
      <c r="T428" s="11"/>
      <c r="U428" s="11"/>
    </row>
    <row r="429" spans="1:21" x14ac:dyDescent="0.2">
      <c r="A429" s="10"/>
      <c r="B429" s="14"/>
      <c r="R429" s="11"/>
      <c r="S429" s="11"/>
      <c r="T429" s="11"/>
      <c r="U429" s="11"/>
    </row>
    <row r="430" spans="1:21" x14ac:dyDescent="0.2">
      <c r="A430" s="10"/>
      <c r="B430" s="14"/>
      <c r="R430" s="11"/>
      <c r="S430" s="11"/>
      <c r="T430" s="11"/>
      <c r="U430" s="11"/>
    </row>
    <row r="431" spans="1:21" x14ac:dyDescent="0.2">
      <c r="A431" s="10"/>
      <c r="B431" s="14"/>
      <c r="R431" s="11"/>
      <c r="S431" s="11"/>
      <c r="T431" s="11"/>
      <c r="U431" s="11"/>
    </row>
    <row r="432" spans="1:21" x14ac:dyDescent="0.2">
      <c r="A432" s="10"/>
      <c r="B432" s="14"/>
      <c r="R432" s="11"/>
      <c r="S432" s="11"/>
      <c r="T432" s="11"/>
      <c r="U432" s="11"/>
    </row>
    <row r="433" spans="1:21" x14ac:dyDescent="0.2">
      <c r="A433" s="10"/>
      <c r="B433" s="14"/>
      <c r="R433" s="11"/>
      <c r="S433" s="11"/>
      <c r="T433" s="11"/>
      <c r="U433" s="11"/>
    </row>
    <row r="434" spans="1:21" x14ac:dyDescent="0.2">
      <c r="A434" s="10"/>
      <c r="B434" s="14"/>
      <c r="R434" s="11"/>
      <c r="S434" s="11"/>
      <c r="T434" s="11"/>
      <c r="U434" s="11"/>
    </row>
    <row r="435" spans="1:21" x14ac:dyDescent="0.2">
      <c r="A435" s="10"/>
      <c r="B435" s="14"/>
      <c r="R435" s="11"/>
      <c r="S435" s="11"/>
      <c r="T435" s="11"/>
      <c r="U435" s="11"/>
    </row>
    <row r="436" spans="1:21" x14ac:dyDescent="0.2">
      <c r="A436" s="10"/>
      <c r="B436" s="14"/>
      <c r="R436" s="11"/>
      <c r="S436" s="11"/>
      <c r="T436" s="11"/>
      <c r="U436" s="11"/>
    </row>
    <row r="437" spans="1:21" x14ac:dyDescent="0.2">
      <c r="A437" s="10"/>
      <c r="B437" s="14"/>
      <c r="R437" s="11"/>
      <c r="S437" s="11"/>
      <c r="T437" s="11"/>
      <c r="U437" s="11"/>
    </row>
    <row r="438" spans="1:21" x14ac:dyDescent="0.2">
      <c r="A438" s="10"/>
      <c r="B438" s="14"/>
      <c r="R438" s="11"/>
      <c r="S438" s="11"/>
      <c r="T438" s="11"/>
      <c r="U438" s="11"/>
    </row>
    <row r="439" spans="1:21" x14ac:dyDescent="0.2">
      <c r="A439" s="10"/>
      <c r="B439" s="14"/>
      <c r="R439" s="11"/>
      <c r="S439" s="11"/>
      <c r="T439" s="11"/>
      <c r="U439" s="11"/>
    </row>
    <row r="440" spans="1:21" x14ac:dyDescent="0.2">
      <c r="A440" s="10"/>
      <c r="B440" s="14"/>
      <c r="R440" s="11"/>
      <c r="S440" s="11"/>
      <c r="T440" s="11"/>
      <c r="U440" s="11"/>
    </row>
    <row r="441" spans="1:21" x14ac:dyDescent="0.2">
      <c r="A441" s="10"/>
      <c r="B441" s="14"/>
      <c r="R441" s="11"/>
      <c r="S441" s="11"/>
      <c r="T441" s="11"/>
      <c r="U441" s="11"/>
    </row>
    <row r="442" spans="1:21" x14ac:dyDescent="0.2">
      <c r="A442" s="10"/>
      <c r="B442" s="14"/>
      <c r="R442" s="11"/>
      <c r="S442" s="11"/>
      <c r="T442" s="11"/>
      <c r="U442" s="11"/>
    </row>
    <row r="443" spans="1:21" x14ac:dyDescent="0.2">
      <c r="A443" s="10"/>
      <c r="B443" s="14"/>
      <c r="R443" s="11"/>
      <c r="S443" s="11"/>
      <c r="T443" s="11"/>
      <c r="U443" s="11"/>
    </row>
    <row r="444" spans="1:21" x14ac:dyDescent="0.2">
      <c r="A444" s="10"/>
      <c r="B444" s="14"/>
      <c r="R444" s="11"/>
      <c r="S444" s="11"/>
      <c r="T444" s="11"/>
      <c r="U444" s="11"/>
    </row>
    <row r="445" spans="1:21" x14ac:dyDescent="0.2">
      <c r="A445" s="10"/>
      <c r="B445" s="14"/>
      <c r="R445" s="11"/>
      <c r="S445" s="11"/>
      <c r="T445" s="11"/>
      <c r="U445" s="11"/>
    </row>
    <row r="446" spans="1:21" x14ac:dyDescent="0.2">
      <c r="A446" s="10"/>
      <c r="B446" s="14"/>
      <c r="R446" s="11"/>
      <c r="S446" s="11"/>
      <c r="T446" s="11"/>
      <c r="U446" s="11"/>
    </row>
    <row r="447" spans="1:21" x14ac:dyDescent="0.2">
      <c r="A447" s="10"/>
      <c r="B447" s="14"/>
      <c r="R447" s="11"/>
      <c r="S447" s="11"/>
      <c r="T447" s="11"/>
      <c r="U447" s="11"/>
    </row>
    <row r="448" spans="1:21" x14ac:dyDescent="0.2">
      <c r="A448" s="10"/>
      <c r="B448" s="14"/>
      <c r="R448" s="11"/>
      <c r="S448" s="11"/>
      <c r="T448" s="11"/>
      <c r="U448" s="11"/>
    </row>
    <row r="449" spans="1:21" x14ac:dyDescent="0.2">
      <c r="A449" s="10"/>
      <c r="B449" s="14"/>
      <c r="R449" s="11"/>
      <c r="S449" s="11"/>
      <c r="T449" s="11"/>
      <c r="U449" s="11"/>
    </row>
    <row r="450" spans="1:21" x14ac:dyDescent="0.2">
      <c r="A450" s="10"/>
      <c r="B450" s="14"/>
      <c r="R450" s="11"/>
      <c r="S450" s="11"/>
      <c r="T450" s="11"/>
      <c r="U450" s="11"/>
    </row>
    <row r="451" spans="1:21" x14ac:dyDescent="0.2">
      <c r="A451" s="10"/>
      <c r="B451" s="14"/>
      <c r="R451" s="11"/>
      <c r="S451" s="11"/>
      <c r="T451" s="11"/>
      <c r="U451" s="11"/>
    </row>
    <row r="452" spans="1:21" x14ac:dyDescent="0.2">
      <c r="A452" s="10"/>
      <c r="B452" s="14"/>
      <c r="R452" s="11"/>
      <c r="S452" s="11"/>
      <c r="T452" s="11"/>
      <c r="U452" s="11"/>
    </row>
    <row r="453" spans="1:21" x14ac:dyDescent="0.2">
      <c r="A453" s="10"/>
      <c r="B453" s="14"/>
      <c r="R453" s="11"/>
      <c r="S453" s="11"/>
      <c r="T453" s="11"/>
      <c r="U453" s="11"/>
    </row>
    <row r="454" spans="1:21" x14ac:dyDescent="0.2">
      <c r="A454" s="10"/>
      <c r="B454" s="14"/>
      <c r="R454" s="11"/>
      <c r="S454" s="11"/>
      <c r="T454" s="11"/>
      <c r="U454" s="11"/>
    </row>
    <row r="455" spans="1:21" x14ac:dyDescent="0.2">
      <c r="A455" s="10"/>
      <c r="B455" s="14"/>
      <c r="R455" s="11"/>
      <c r="S455" s="11"/>
      <c r="T455" s="11"/>
      <c r="U455" s="11"/>
    </row>
    <row r="456" spans="1:21" x14ac:dyDescent="0.2">
      <c r="A456" s="10"/>
      <c r="B456" s="14"/>
      <c r="R456" s="11"/>
      <c r="S456" s="11"/>
      <c r="T456" s="11"/>
      <c r="U456" s="11"/>
    </row>
    <row r="457" spans="1:21" x14ac:dyDescent="0.2">
      <c r="A457" s="10"/>
      <c r="B457" s="14"/>
      <c r="R457" s="11"/>
      <c r="S457" s="11"/>
      <c r="T457" s="11"/>
      <c r="U457" s="11"/>
    </row>
    <row r="458" spans="1:21" x14ac:dyDescent="0.2">
      <c r="A458" s="10"/>
      <c r="B458" s="14"/>
      <c r="R458" s="11"/>
      <c r="S458" s="11"/>
      <c r="T458" s="11"/>
      <c r="U458" s="11"/>
    </row>
    <row r="459" spans="1:21" x14ac:dyDescent="0.2">
      <c r="A459" s="10"/>
      <c r="B459" s="14"/>
      <c r="R459" s="11"/>
      <c r="S459" s="11"/>
      <c r="T459" s="11"/>
      <c r="U459" s="11"/>
    </row>
    <row r="460" spans="1:21" x14ac:dyDescent="0.2">
      <c r="A460" s="10"/>
      <c r="B460" s="14"/>
      <c r="R460" s="11"/>
      <c r="S460" s="11"/>
      <c r="T460" s="11"/>
      <c r="U460" s="11"/>
    </row>
    <row r="461" spans="1:21" x14ac:dyDescent="0.2">
      <c r="A461" s="10"/>
      <c r="B461" s="14"/>
      <c r="R461" s="11"/>
      <c r="S461" s="11"/>
      <c r="T461" s="11"/>
      <c r="U461" s="11"/>
    </row>
    <row r="462" spans="1:21" x14ac:dyDescent="0.2">
      <c r="A462" s="10"/>
      <c r="B462" s="14"/>
      <c r="R462" s="11"/>
      <c r="S462" s="11"/>
      <c r="T462" s="11"/>
      <c r="U462" s="11"/>
    </row>
    <row r="463" spans="1:21" x14ac:dyDescent="0.2">
      <c r="A463" s="10"/>
      <c r="B463" s="14"/>
      <c r="R463" s="11"/>
      <c r="S463" s="11"/>
      <c r="T463" s="11"/>
      <c r="U463" s="11"/>
    </row>
    <row r="464" spans="1:21" x14ac:dyDescent="0.2">
      <c r="A464" s="10"/>
      <c r="B464" s="14"/>
      <c r="R464" s="11"/>
      <c r="S464" s="11"/>
      <c r="T464" s="11"/>
      <c r="U464" s="11"/>
    </row>
    <row r="465" spans="1:21" x14ac:dyDescent="0.2">
      <c r="A465" s="10"/>
      <c r="B465" s="14"/>
      <c r="R465" s="11"/>
      <c r="S465" s="11"/>
      <c r="T465" s="11"/>
      <c r="U465" s="11"/>
    </row>
    <row r="466" spans="1:21" x14ac:dyDescent="0.2">
      <c r="A466" s="10"/>
      <c r="B466" s="14"/>
      <c r="R466" s="11"/>
      <c r="S466" s="11"/>
      <c r="T466" s="11"/>
      <c r="U466" s="11"/>
    </row>
    <row r="467" spans="1:21" x14ac:dyDescent="0.2">
      <c r="A467" s="10"/>
      <c r="B467" s="14"/>
      <c r="R467" s="11"/>
      <c r="S467" s="11"/>
      <c r="T467" s="11"/>
      <c r="U467" s="11"/>
    </row>
    <row r="468" spans="1:21" x14ac:dyDescent="0.2">
      <c r="A468" s="10"/>
      <c r="B468" s="14"/>
      <c r="R468" s="11"/>
      <c r="S468" s="11"/>
      <c r="T468" s="11"/>
      <c r="U468" s="11"/>
    </row>
    <row r="469" spans="1:21" x14ac:dyDescent="0.2">
      <c r="A469" s="10"/>
      <c r="B469" s="14"/>
      <c r="R469" s="11"/>
      <c r="S469" s="11"/>
      <c r="T469" s="11"/>
      <c r="U469" s="11"/>
    </row>
    <row r="470" spans="1:21" x14ac:dyDescent="0.2">
      <c r="A470" s="10"/>
      <c r="B470" s="14"/>
      <c r="R470" s="11"/>
      <c r="S470" s="11"/>
      <c r="T470" s="11"/>
      <c r="U470" s="11"/>
    </row>
    <row r="471" spans="1:21" x14ac:dyDescent="0.2">
      <c r="A471" s="10"/>
      <c r="B471" s="14"/>
      <c r="R471" s="11"/>
      <c r="S471" s="11"/>
      <c r="T471" s="11"/>
      <c r="U471" s="11"/>
    </row>
    <row r="472" spans="1:21" x14ac:dyDescent="0.2">
      <c r="A472" s="10"/>
      <c r="B472" s="14"/>
      <c r="R472" s="11"/>
      <c r="S472" s="11"/>
      <c r="T472" s="11"/>
      <c r="U472" s="11"/>
    </row>
    <row r="473" spans="1:21" x14ac:dyDescent="0.2">
      <c r="A473" s="10"/>
      <c r="B473" s="14"/>
      <c r="R473" s="11"/>
      <c r="S473" s="11"/>
      <c r="T473" s="11"/>
      <c r="U473" s="11"/>
    </row>
    <row r="474" spans="1:21" x14ac:dyDescent="0.2">
      <c r="A474" s="10"/>
      <c r="B474" s="14"/>
      <c r="R474" s="11"/>
      <c r="S474" s="11"/>
      <c r="T474" s="11"/>
      <c r="U474" s="11"/>
    </row>
    <row r="475" spans="1:21" x14ac:dyDescent="0.2">
      <c r="A475" s="10"/>
      <c r="B475" s="14"/>
      <c r="R475" s="11"/>
      <c r="S475" s="11"/>
      <c r="T475" s="11"/>
      <c r="U475" s="11"/>
    </row>
    <row r="476" spans="1:21" x14ac:dyDescent="0.2">
      <c r="A476" s="10"/>
      <c r="B476" s="14"/>
      <c r="R476" s="11"/>
      <c r="S476" s="11"/>
      <c r="T476" s="11"/>
      <c r="U476" s="11"/>
    </row>
    <row r="477" spans="1:21" x14ac:dyDescent="0.2">
      <c r="A477" s="10"/>
      <c r="B477" s="14"/>
      <c r="R477" s="11"/>
      <c r="S477" s="11"/>
      <c r="T477" s="11"/>
      <c r="U477" s="11"/>
    </row>
    <row r="478" spans="1:21" x14ac:dyDescent="0.2">
      <c r="A478" s="10"/>
      <c r="B478" s="14"/>
      <c r="R478" s="11"/>
      <c r="S478" s="11"/>
      <c r="T478" s="11"/>
      <c r="U478" s="11"/>
    </row>
    <row r="479" spans="1:21" x14ac:dyDescent="0.2">
      <c r="A479" s="10"/>
      <c r="B479" s="14"/>
      <c r="R479" s="11"/>
      <c r="S479" s="11"/>
      <c r="T479" s="11"/>
      <c r="U479" s="11"/>
    </row>
    <row r="480" spans="1:21" x14ac:dyDescent="0.2">
      <c r="A480" s="10"/>
      <c r="B480" s="14"/>
      <c r="R480" s="11"/>
      <c r="S480" s="11"/>
      <c r="T480" s="11"/>
      <c r="U480" s="11"/>
    </row>
    <row r="481" spans="1:21" x14ac:dyDescent="0.2">
      <c r="A481" s="10"/>
      <c r="B481" s="14"/>
      <c r="R481" s="11"/>
      <c r="S481" s="11"/>
      <c r="T481" s="11"/>
      <c r="U481" s="11"/>
    </row>
    <row r="482" spans="1:21" x14ac:dyDescent="0.2">
      <c r="A482" s="10"/>
      <c r="B482" s="14"/>
      <c r="R482" s="11"/>
      <c r="S482" s="11"/>
      <c r="T482" s="11"/>
      <c r="U482" s="11"/>
    </row>
    <row r="483" spans="1:21" x14ac:dyDescent="0.2">
      <c r="A483" s="10"/>
      <c r="B483" s="14"/>
      <c r="R483" s="11"/>
      <c r="S483" s="11"/>
      <c r="T483" s="11"/>
      <c r="U483" s="11"/>
    </row>
    <row r="484" spans="1:21" x14ac:dyDescent="0.2">
      <c r="A484" s="10"/>
      <c r="B484" s="14"/>
      <c r="R484" s="11"/>
      <c r="S484" s="11"/>
      <c r="T484" s="11"/>
      <c r="U484" s="11"/>
    </row>
    <row r="485" spans="1:21" x14ac:dyDescent="0.2">
      <c r="A485" s="10"/>
      <c r="B485" s="14"/>
      <c r="R485" s="11"/>
      <c r="S485" s="11"/>
      <c r="T485" s="11"/>
      <c r="U485" s="11"/>
    </row>
    <row r="486" spans="1:21" x14ac:dyDescent="0.2">
      <c r="A486" s="10"/>
      <c r="B486" s="14"/>
      <c r="R486" s="11"/>
      <c r="S486" s="11"/>
      <c r="T486" s="11"/>
      <c r="U486" s="11"/>
    </row>
    <row r="487" spans="1:21" x14ac:dyDescent="0.2">
      <c r="A487" s="10"/>
      <c r="B487" s="14"/>
      <c r="R487" s="11"/>
      <c r="S487" s="11"/>
      <c r="T487" s="11"/>
      <c r="U487" s="11"/>
    </row>
    <row r="488" spans="1:21" x14ac:dyDescent="0.2">
      <c r="A488" s="10"/>
      <c r="B488" s="14"/>
      <c r="R488" s="11"/>
      <c r="S488" s="11"/>
      <c r="T488" s="11"/>
      <c r="U488" s="11"/>
    </row>
    <row r="489" spans="1:21" x14ac:dyDescent="0.2">
      <c r="A489" s="10"/>
      <c r="B489" s="14"/>
      <c r="R489" s="11"/>
      <c r="S489" s="11"/>
      <c r="T489" s="11"/>
      <c r="U489" s="11"/>
    </row>
    <row r="490" spans="1:21" x14ac:dyDescent="0.2">
      <c r="A490" s="10"/>
      <c r="B490" s="14"/>
      <c r="R490" s="11"/>
      <c r="S490" s="11"/>
      <c r="T490" s="11"/>
      <c r="U490" s="11"/>
    </row>
    <row r="491" spans="1:21" x14ac:dyDescent="0.2">
      <c r="A491" s="10"/>
      <c r="B491" s="14"/>
      <c r="R491" s="11"/>
      <c r="S491" s="11"/>
      <c r="T491" s="11"/>
      <c r="U491" s="11"/>
    </row>
    <row r="492" spans="1:21" x14ac:dyDescent="0.2">
      <c r="A492" s="10"/>
      <c r="B492" s="14"/>
      <c r="R492" s="11"/>
      <c r="S492" s="11"/>
      <c r="T492" s="11"/>
      <c r="U492" s="11"/>
    </row>
    <row r="493" spans="1:21" x14ac:dyDescent="0.2">
      <c r="A493" s="10"/>
      <c r="B493" s="14"/>
      <c r="R493" s="11"/>
      <c r="S493" s="11"/>
      <c r="T493" s="11"/>
      <c r="U493" s="11"/>
    </row>
    <row r="494" spans="1:21" x14ac:dyDescent="0.2">
      <c r="A494" s="10"/>
      <c r="B494" s="14"/>
      <c r="R494" s="11"/>
      <c r="S494" s="11"/>
      <c r="T494" s="11"/>
      <c r="U494" s="11"/>
    </row>
    <row r="495" spans="1:21" x14ac:dyDescent="0.2">
      <c r="A495" s="10"/>
      <c r="B495" s="14"/>
      <c r="R495" s="11"/>
      <c r="S495" s="11"/>
      <c r="T495" s="11"/>
      <c r="U495" s="11"/>
    </row>
    <row r="496" spans="1:21" x14ac:dyDescent="0.2">
      <c r="A496" s="10"/>
      <c r="B496" s="14"/>
      <c r="R496" s="11"/>
      <c r="S496" s="11"/>
      <c r="T496" s="11"/>
      <c r="U496" s="11"/>
    </row>
    <row r="497" spans="1:21" x14ac:dyDescent="0.2">
      <c r="A497" s="10"/>
      <c r="B497" s="14"/>
      <c r="R497" s="11"/>
      <c r="S497" s="11"/>
      <c r="T497" s="11"/>
      <c r="U497" s="11"/>
    </row>
    <row r="498" spans="1:21" x14ac:dyDescent="0.2">
      <c r="A498" s="10"/>
      <c r="B498" s="14"/>
      <c r="R498" s="11"/>
      <c r="S498" s="11"/>
      <c r="T498" s="11"/>
      <c r="U498" s="11"/>
    </row>
    <row r="499" spans="1:21" x14ac:dyDescent="0.2">
      <c r="A499" s="10"/>
      <c r="B499" s="14"/>
      <c r="R499" s="11"/>
      <c r="S499" s="11"/>
      <c r="T499" s="11"/>
      <c r="U499" s="11"/>
    </row>
    <row r="500" spans="1:21" x14ac:dyDescent="0.2">
      <c r="A500" s="10"/>
      <c r="B500" s="14"/>
      <c r="R500" s="11"/>
      <c r="S500" s="11"/>
      <c r="T500" s="11"/>
      <c r="U500" s="11"/>
    </row>
    <row r="501" spans="1:21" x14ac:dyDescent="0.2">
      <c r="A501" s="10"/>
      <c r="B501" s="14"/>
      <c r="R501" s="11"/>
      <c r="S501" s="11"/>
      <c r="T501" s="11"/>
      <c r="U501" s="11"/>
    </row>
    <row r="502" spans="1:21" x14ac:dyDescent="0.2">
      <c r="A502" s="10"/>
      <c r="B502" s="14"/>
    </row>
    <row r="503" spans="1:21" x14ac:dyDescent="0.2">
      <c r="A503" s="10"/>
      <c r="B503" s="14"/>
    </row>
    <row r="504" spans="1:21" x14ac:dyDescent="0.2">
      <c r="A504" s="10"/>
      <c r="B504" s="14"/>
    </row>
    <row r="505" spans="1:21" x14ac:dyDescent="0.2">
      <c r="A505" s="10"/>
      <c r="B505" s="14"/>
    </row>
    <row r="506" spans="1:21" x14ac:dyDescent="0.2">
      <c r="A506" s="10"/>
      <c r="B506" s="14"/>
    </row>
    <row r="507" spans="1:21" x14ac:dyDescent="0.2">
      <c r="A507" s="10"/>
      <c r="B507" s="14"/>
    </row>
    <row r="508" spans="1:21" x14ac:dyDescent="0.2">
      <c r="A508" s="10"/>
      <c r="B508" s="14"/>
    </row>
    <row r="509" spans="1:21" x14ac:dyDescent="0.2">
      <c r="A509" s="10"/>
      <c r="B509" s="14"/>
    </row>
    <row r="510" spans="1:21" x14ac:dyDescent="0.2">
      <c r="A510" s="10"/>
      <c r="B510" s="14"/>
    </row>
    <row r="511" spans="1:21" x14ac:dyDescent="0.2">
      <c r="A511" s="10"/>
      <c r="B511" s="14"/>
    </row>
    <row r="512" spans="1:21" x14ac:dyDescent="0.2">
      <c r="A512" s="10"/>
      <c r="B512" s="14"/>
    </row>
    <row r="513" spans="1:2" x14ac:dyDescent="0.2">
      <c r="A513" s="10"/>
      <c r="B513" s="14"/>
    </row>
    <row r="514" spans="1:2" x14ac:dyDescent="0.2">
      <c r="A514" s="10"/>
      <c r="B514" s="14"/>
    </row>
    <row r="515" spans="1:2" x14ac:dyDescent="0.2">
      <c r="A515" s="10"/>
      <c r="B515" s="14"/>
    </row>
    <row r="516" spans="1:2" x14ac:dyDescent="0.2">
      <c r="A516" s="10"/>
      <c r="B516" s="14"/>
    </row>
    <row r="517" spans="1:2" x14ac:dyDescent="0.2">
      <c r="A517" s="10"/>
      <c r="B517" s="14"/>
    </row>
    <row r="518" spans="1:2" x14ac:dyDescent="0.2">
      <c r="A518" s="10"/>
      <c r="B518" s="14"/>
    </row>
    <row r="519" spans="1:2" x14ac:dyDescent="0.2">
      <c r="A519" s="10"/>
      <c r="B519" s="14"/>
    </row>
    <row r="520" spans="1:2" x14ac:dyDescent="0.2">
      <c r="A520" s="10"/>
      <c r="B520" s="14"/>
    </row>
    <row r="521" spans="1:2" x14ac:dyDescent="0.2">
      <c r="A521" s="10"/>
      <c r="B521" s="14"/>
    </row>
    <row r="522" spans="1:2" x14ac:dyDescent="0.2">
      <c r="A522" s="10"/>
      <c r="B522" s="14"/>
    </row>
    <row r="523" spans="1:2" x14ac:dyDescent="0.2">
      <c r="A523" s="10"/>
      <c r="B523" s="14"/>
    </row>
    <row r="524" spans="1:2" x14ac:dyDescent="0.2">
      <c r="A524" s="10"/>
      <c r="B524" s="14"/>
    </row>
    <row r="525" spans="1:2" x14ac:dyDescent="0.2">
      <c r="A525" s="10"/>
      <c r="B525" s="14"/>
    </row>
    <row r="526" spans="1:2" x14ac:dyDescent="0.2">
      <c r="A526" s="10"/>
      <c r="B526" s="14"/>
    </row>
    <row r="527" spans="1:2" x14ac:dyDescent="0.2">
      <c r="A527" s="10"/>
      <c r="B527" s="14"/>
    </row>
    <row r="528" spans="1:2" x14ac:dyDescent="0.2">
      <c r="A528" s="10"/>
      <c r="B528" s="14"/>
    </row>
    <row r="529" spans="1:2" x14ac:dyDescent="0.2">
      <c r="A529" s="10"/>
      <c r="B529" s="14"/>
    </row>
    <row r="530" spans="1:2" x14ac:dyDescent="0.2">
      <c r="A530" s="10"/>
      <c r="B530" s="14"/>
    </row>
    <row r="531" spans="1:2" x14ac:dyDescent="0.2">
      <c r="A531" s="10"/>
      <c r="B531" s="14"/>
    </row>
    <row r="532" spans="1:2" x14ac:dyDescent="0.2">
      <c r="A532" s="10"/>
      <c r="B532" s="14"/>
    </row>
    <row r="533" spans="1:2" x14ac:dyDescent="0.2">
      <c r="A533" s="10"/>
      <c r="B533" s="14"/>
    </row>
    <row r="534" spans="1:2" x14ac:dyDescent="0.2">
      <c r="A534" s="10"/>
      <c r="B534" s="14"/>
    </row>
    <row r="535" spans="1:2" x14ac:dyDescent="0.2">
      <c r="A535" s="10"/>
      <c r="B535" s="14"/>
    </row>
    <row r="536" spans="1:2" x14ac:dyDescent="0.2">
      <c r="A536" s="10"/>
      <c r="B536" s="14"/>
    </row>
    <row r="537" spans="1:2" x14ac:dyDescent="0.2">
      <c r="A537" s="10"/>
      <c r="B537" s="14"/>
    </row>
    <row r="538" spans="1:2" x14ac:dyDescent="0.2">
      <c r="A538" s="10"/>
      <c r="B538" s="14"/>
    </row>
    <row r="539" spans="1:2" x14ac:dyDescent="0.2">
      <c r="A539" s="10"/>
      <c r="B539" s="14"/>
    </row>
    <row r="540" spans="1:2" x14ac:dyDescent="0.2">
      <c r="A540" s="10"/>
      <c r="B540" s="14"/>
    </row>
    <row r="541" spans="1:2" x14ac:dyDescent="0.2">
      <c r="A541" s="10"/>
      <c r="B541" s="14"/>
    </row>
    <row r="542" spans="1:2" x14ac:dyDescent="0.2">
      <c r="A542" s="10"/>
      <c r="B542" s="14"/>
    </row>
    <row r="543" spans="1:2" x14ac:dyDescent="0.2">
      <c r="A543" s="10"/>
      <c r="B543" s="14"/>
    </row>
    <row r="544" spans="1:2" x14ac:dyDescent="0.2">
      <c r="A544" s="10"/>
      <c r="B544" s="14"/>
    </row>
    <row r="545" spans="1:2" x14ac:dyDescent="0.2">
      <c r="A545" s="10"/>
      <c r="B545" s="14"/>
    </row>
    <row r="546" spans="1:2" x14ac:dyDescent="0.2">
      <c r="A546" s="10"/>
      <c r="B546" s="14"/>
    </row>
    <row r="547" spans="1:2" x14ac:dyDescent="0.2">
      <c r="A547" s="10"/>
      <c r="B547" s="14"/>
    </row>
    <row r="548" spans="1:2" x14ac:dyDescent="0.2">
      <c r="A548" s="10"/>
      <c r="B548" s="14"/>
    </row>
    <row r="549" spans="1:2" x14ac:dyDescent="0.2">
      <c r="A549" s="10"/>
      <c r="B549" s="14"/>
    </row>
    <row r="550" spans="1:2" x14ac:dyDescent="0.2">
      <c r="A550" s="10"/>
      <c r="B550" s="14"/>
    </row>
    <row r="551" spans="1:2" x14ac:dyDescent="0.2">
      <c r="A551" s="10"/>
      <c r="B551" s="14"/>
    </row>
    <row r="552" spans="1:2" x14ac:dyDescent="0.2">
      <c r="A552" s="10"/>
      <c r="B552" s="14"/>
    </row>
    <row r="553" spans="1:2" x14ac:dyDescent="0.2">
      <c r="A553" s="10"/>
      <c r="B553" s="14"/>
    </row>
    <row r="554" spans="1:2" x14ac:dyDescent="0.2">
      <c r="A554" s="10"/>
      <c r="B554" s="14"/>
    </row>
    <row r="555" spans="1:2" x14ac:dyDescent="0.2">
      <c r="A555" s="10"/>
      <c r="B555" s="14"/>
    </row>
    <row r="556" spans="1:2" x14ac:dyDescent="0.2">
      <c r="A556" s="10"/>
      <c r="B556" s="14"/>
    </row>
    <row r="557" spans="1:2" x14ac:dyDescent="0.2">
      <c r="A557" s="10"/>
      <c r="B557" s="14"/>
    </row>
    <row r="558" spans="1:2" x14ac:dyDescent="0.2">
      <c r="A558" s="10"/>
      <c r="B558" s="14"/>
    </row>
    <row r="559" spans="1:2" x14ac:dyDescent="0.2">
      <c r="A559" s="10"/>
      <c r="B559" s="14"/>
    </row>
    <row r="560" spans="1:2" x14ac:dyDescent="0.2">
      <c r="A560" s="10"/>
      <c r="B560" s="14"/>
    </row>
    <row r="561" spans="1:2" x14ac:dyDescent="0.2">
      <c r="A561" s="10"/>
      <c r="B561" s="14"/>
    </row>
    <row r="562" spans="1:2" x14ac:dyDescent="0.2">
      <c r="A562" s="10"/>
      <c r="B562" s="14"/>
    </row>
    <row r="563" spans="1:2" x14ac:dyDescent="0.2">
      <c r="A563" s="10"/>
      <c r="B563" s="14"/>
    </row>
    <row r="564" spans="1:2" x14ac:dyDescent="0.2">
      <c r="A564" s="10"/>
      <c r="B564" s="14"/>
    </row>
    <row r="565" spans="1:2" x14ac:dyDescent="0.2">
      <c r="A565" s="10"/>
      <c r="B565" s="14"/>
    </row>
    <row r="566" spans="1:2" x14ac:dyDescent="0.2">
      <c r="A566" s="10"/>
      <c r="B566" s="14"/>
    </row>
    <row r="567" spans="1:2" x14ac:dyDescent="0.2">
      <c r="A567" s="10"/>
      <c r="B567" s="14"/>
    </row>
    <row r="568" spans="1:2" x14ac:dyDescent="0.2">
      <c r="A568" s="10"/>
      <c r="B568" s="14"/>
    </row>
    <row r="569" spans="1:2" x14ac:dyDescent="0.2">
      <c r="A569" s="10"/>
      <c r="B569" s="14"/>
    </row>
    <row r="570" spans="1:2" x14ac:dyDescent="0.2">
      <c r="A570" s="10"/>
      <c r="B570" s="14"/>
    </row>
    <row r="571" spans="1:2" x14ac:dyDescent="0.2">
      <c r="A571" s="10"/>
      <c r="B571" s="14"/>
    </row>
    <row r="572" spans="1:2" x14ac:dyDescent="0.2">
      <c r="A572" s="10"/>
      <c r="B572" s="14"/>
    </row>
    <row r="573" spans="1:2" x14ac:dyDescent="0.2">
      <c r="A573" s="10"/>
      <c r="B573" s="14"/>
    </row>
    <row r="574" spans="1:2" x14ac:dyDescent="0.2">
      <c r="A574" s="10"/>
      <c r="B574" s="14"/>
    </row>
    <row r="575" spans="1:2" x14ac:dyDescent="0.2">
      <c r="A575" s="10"/>
      <c r="B575" s="14"/>
    </row>
    <row r="576" spans="1:2" x14ac:dyDescent="0.2">
      <c r="A576" s="10"/>
      <c r="B576" s="14"/>
    </row>
    <row r="577" spans="1:2" x14ac:dyDescent="0.2">
      <c r="A577" s="10"/>
      <c r="B577" s="14"/>
    </row>
    <row r="578" spans="1:2" x14ac:dyDescent="0.2">
      <c r="A578" s="10"/>
      <c r="B578" s="14"/>
    </row>
    <row r="579" spans="1:2" x14ac:dyDescent="0.2">
      <c r="A579" s="10"/>
      <c r="B579" s="14"/>
    </row>
    <row r="580" spans="1:2" x14ac:dyDescent="0.2">
      <c r="A580" s="10"/>
      <c r="B580" s="14"/>
    </row>
    <row r="581" spans="1:2" x14ac:dyDescent="0.2">
      <c r="A581" s="10"/>
      <c r="B581" s="14"/>
    </row>
    <row r="582" spans="1:2" x14ac:dyDescent="0.2">
      <c r="A582" s="10"/>
      <c r="B582" s="14"/>
    </row>
    <row r="583" spans="1:2" x14ac:dyDescent="0.2">
      <c r="A583" s="10"/>
      <c r="B583" s="14"/>
    </row>
    <row r="584" spans="1:2" x14ac:dyDescent="0.2">
      <c r="A584" s="10"/>
      <c r="B584" s="14"/>
    </row>
    <row r="585" spans="1:2" x14ac:dyDescent="0.2">
      <c r="A585" s="10"/>
      <c r="B585" s="14"/>
    </row>
    <row r="586" spans="1:2" x14ac:dyDescent="0.2">
      <c r="A586" s="10"/>
      <c r="B586" s="14"/>
    </row>
    <row r="587" spans="1:2" x14ac:dyDescent="0.2">
      <c r="A587" s="10"/>
      <c r="B587" s="14"/>
    </row>
    <row r="588" spans="1:2" x14ac:dyDescent="0.2">
      <c r="A588" s="10"/>
      <c r="B588" s="14"/>
    </row>
    <row r="589" spans="1:2" x14ac:dyDescent="0.2">
      <c r="A589" s="10"/>
      <c r="B589" s="14"/>
    </row>
    <row r="590" spans="1:2" x14ac:dyDescent="0.2">
      <c r="A590" s="10"/>
      <c r="B590" s="14"/>
    </row>
    <row r="591" spans="1:2" x14ac:dyDescent="0.2">
      <c r="A591" s="10"/>
      <c r="B591" s="14"/>
    </row>
    <row r="592" spans="1:2" x14ac:dyDescent="0.2">
      <c r="A592" s="10"/>
      <c r="B592" s="14"/>
    </row>
    <row r="593" spans="1:2" x14ac:dyDescent="0.2">
      <c r="A593" s="10"/>
      <c r="B593" s="14"/>
    </row>
    <row r="594" spans="1:2" x14ac:dyDescent="0.2">
      <c r="A594" s="10"/>
      <c r="B594" s="14"/>
    </row>
    <row r="595" spans="1:2" x14ac:dyDescent="0.2">
      <c r="A595" s="10"/>
    </row>
    <row r="596" spans="1:2" x14ac:dyDescent="0.2">
      <c r="A596" s="10"/>
    </row>
    <row r="597" spans="1:2" x14ac:dyDescent="0.2">
      <c r="A597" s="10"/>
    </row>
    <row r="598" spans="1:2" x14ac:dyDescent="0.2">
      <c r="A598" s="10"/>
    </row>
    <row r="599" spans="1:2" x14ac:dyDescent="0.2">
      <c r="A599" s="10"/>
    </row>
    <row r="600" spans="1:2" x14ac:dyDescent="0.2">
      <c r="A600" s="10"/>
    </row>
    <row r="601" spans="1:2" x14ac:dyDescent="0.2">
      <c r="A601" s="10"/>
    </row>
    <row r="602" spans="1:2" x14ac:dyDescent="0.2">
      <c r="A602" s="10"/>
    </row>
  </sheetData>
  <mergeCells count="80">
    <mergeCell ref="Q109:R109"/>
    <mergeCell ref="V109:W109"/>
    <mergeCell ref="Q110:R110"/>
    <mergeCell ref="V110:W110"/>
    <mergeCell ref="Q111:R111"/>
    <mergeCell ref="V111:W111"/>
    <mergeCell ref="Q112:R112"/>
    <mergeCell ref="V112:W112"/>
    <mergeCell ref="Q113:R113"/>
    <mergeCell ref="V113:W113"/>
    <mergeCell ref="Q114:R114"/>
    <mergeCell ref="V114:W114"/>
    <mergeCell ref="Q115:R115"/>
    <mergeCell ref="V115:W115"/>
    <mergeCell ref="Q116:R116"/>
    <mergeCell ref="V116:W116"/>
    <mergeCell ref="Q117:R117"/>
    <mergeCell ref="V117:W117"/>
    <mergeCell ref="Q118:R118"/>
    <mergeCell ref="V118:W118"/>
    <mergeCell ref="Q119:R119"/>
    <mergeCell ref="V119:W119"/>
    <mergeCell ref="Q120:R120"/>
    <mergeCell ref="V120:W120"/>
    <mergeCell ref="Q121:R121"/>
    <mergeCell ref="V121:W121"/>
    <mergeCell ref="Q122:R122"/>
    <mergeCell ref="V122:W122"/>
    <mergeCell ref="Q123:R123"/>
    <mergeCell ref="V123:W123"/>
    <mergeCell ref="Q124:R124"/>
    <mergeCell ref="V124:W124"/>
    <mergeCell ref="Q125:R125"/>
    <mergeCell ref="V125:W125"/>
    <mergeCell ref="Q126:R126"/>
    <mergeCell ref="V126:W126"/>
    <mergeCell ref="Q127:R127"/>
    <mergeCell ref="V127:W127"/>
    <mergeCell ref="Q128:R128"/>
    <mergeCell ref="V128:W128"/>
    <mergeCell ref="Q129:R129"/>
    <mergeCell ref="V129:W129"/>
    <mergeCell ref="Q130:R130"/>
    <mergeCell ref="V130:W130"/>
    <mergeCell ref="Q131:R131"/>
    <mergeCell ref="V131:W131"/>
    <mergeCell ref="Q132:R132"/>
    <mergeCell ref="V132:W132"/>
    <mergeCell ref="Q143:R143"/>
    <mergeCell ref="V143:W143"/>
    <mergeCell ref="Q144:R144"/>
    <mergeCell ref="V144:W144"/>
    <mergeCell ref="Q145:R145"/>
    <mergeCell ref="V145:W145"/>
    <mergeCell ref="Q146:R146"/>
    <mergeCell ref="V146:W146"/>
    <mergeCell ref="Q147:R147"/>
    <mergeCell ref="V147:W147"/>
    <mergeCell ref="Q148:R148"/>
    <mergeCell ref="V148:W148"/>
    <mergeCell ref="Q185:R185"/>
    <mergeCell ref="Q149:R149"/>
    <mergeCell ref="V149:W149"/>
    <mergeCell ref="Q150:R150"/>
    <mergeCell ref="V150:W150"/>
    <mergeCell ref="Q178:R178"/>
    <mergeCell ref="Q179:R179"/>
    <mergeCell ref="Q180:R180"/>
    <mergeCell ref="Q181:R181"/>
    <mergeCell ref="Q182:R182"/>
    <mergeCell ref="Q183:R183"/>
    <mergeCell ref="Q184:R184"/>
    <mergeCell ref="M202:N202"/>
    <mergeCell ref="A210:L213"/>
    <mergeCell ref="Q186:R186"/>
    <mergeCell ref="M197:N197"/>
    <mergeCell ref="M198:N198"/>
    <mergeCell ref="M199:N199"/>
    <mergeCell ref="M200:N200"/>
    <mergeCell ref="M201:N201"/>
  </mergeCells>
  <hyperlinks>
    <hyperlink ref="A2" location="'Bid Log'!A9" display="Council Bids" xr:uid="{7191FF8C-834D-4F53-9A5D-3434EA79FC0A}"/>
    <hyperlink ref="A3" location="'Bid Log'!A110" display="Non-Council Bids" xr:uid="{FEFC7A22-8743-40D6-A5E5-B3526C140D80}"/>
    <hyperlink ref="A4" location="'Bid Log'!A145" display="Requests for Proposals" xr:uid="{127C0690-9195-476D-A1FB-6723C8629587}"/>
    <hyperlink ref="A5" location="'Bid Log'!A173" display="Competitive Sealed Proposals" xr:uid="{ED57CA9F-98D9-4972-BC66-C4CF938B5F4C}"/>
    <hyperlink ref="A6" location="'Bid Log'!A194" display="Request for Qualifications" xr:uid="{A57CD71A-E9D6-40D8-82D1-CFE927EB0C1D}"/>
    <hyperlink ref="A7" location="'Bid Log'!A215" display="Request for Information" xr:uid="{FCA8737C-2E42-4B24-9513-C92F0BBEDB7C}"/>
    <hyperlink ref="A189" location="'Bid Log'!A1" display="Return to Top of Document" xr:uid="{C3B21FC3-BC53-4CFD-BB46-EDB27E603D1D}"/>
    <hyperlink ref="A205" location="'Bid Log'!A1" display="Return to Top of Document" xr:uid="{70413539-3EDE-4852-8F3F-8FC6A499BE6A}"/>
    <hyperlink ref="A170" location="'Bid Log'!A1" display="Return to Top of Document" xr:uid="{B54493FF-CF71-4616-92D1-0208DCEB4C8A}"/>
    <hyperlink ref="A153" location="'Bid Log'!A1" display="Return to Top of Document" xr:uid="{883DF707-9A8F-4F09-9E2F-98F7ADC3E81B}"/>
    <hyperlink ref="A135" location="'Bid Log'!A1" display="Return to Top of Document" xr:uid="{40457171-EC08-44FE-9D38-9B875DDDFAC6}"/>
    <hyperlink ref="A101" location="'Bid Log'!A1" display="Return to Top of Document" xr:uid="{65B855FE-992D-4A1A-B48F-110387B3E329}"/>
    <hyperlink ref="D18" r:id="rId1" xr:uid="{BA8EE3FC-004F-455D-A644-1C697F43E085}"/>
    <hyperlink ref="D19" r:id="rId2" xr:uid="{68040512-CA48-4A62-A91B-C80F46A65CD7}"/>
    <hyperlink ref="F18" r:id="rId3" xr:uid="{7A1AD65C-1A82-4282-9603-1B96F297E03A}"/>
    <hyperlink ref="F19" r:id="rId4" xr:uid="{7DFF6F57-AD48-4434-A2F6-8411ED0C0BF5}"/>
    <hyperlink ref="O20" r:id="rId5" xr:uid="{C298511E-92AD-49BF-8F65-9DD30FDA6C2C}"/>
    <hyperlink ref="O22" r:id="rId6" xr:uid="{142E14AF-8925-4A8F-B550-71C1C092A944}"/>
    <hyperlink ref="G19" r:id="rId7" xr:uid="{DFE991D2-F4E7-4446-AB96-A751E589015A}"/>
    <hyperlink ref="F21" r:id="rId8" xr:uid="{58160ED3-6FA1-433B-93F8-BEAB4803272A}"/>
    <hyperlink ref="L18" r:id="rId9" xr:uid="{40441F7D-D4F3-4A31-9B32-A5AB26146840}"/>
    <hyperlink ref="L19" r:id="rId10" xr:uid="{1FEF6EE5-7189-408A-ADA3-FE52457BA5C1}"/>
    <hyperlink ref="F114" r:id="rId11" xr:uid="{3FC8549C-C922-429B-B2A5-3070EBC2BF4A}"/>
    <hyperlink ref="F182" r:id="rId12" xr:uid="{85F2C29D-C154-40EA-9FD3-8915E602F205}"/>
    <hyperlink ref="F17" r:id="rId13" xr:uid="{4D9923A2-614E-4EAE-BD5A-04DD14AA33E2}"/>
    <hyperlink ref="O24" r:id="rId14" xr:uid="{A5BE0D44-4024-4585-BA1B-A64AFEFC428A}"/>
    <hyperlink ref="O28" r:id="rId15" xr:uid="{E7895980-4EC5-4A13-99AB-CCD4A863D6BC}"/>
    <hyperlink ref="O30" r:id="rId16" xr:uid="{EA356FB5-9973-45E5-9BB6-66D0BAE7967A}"/>
    <hyperlink ref="O31" r:id="rId17" xr:uid="{9E49C9EB-C3DC-4CB1-9F6C-10E2A3D89C1C}"/>
    <hyperlink ref="O32" r:id="rId18" xr:uid="{88D342FE-DF1F-43E4-A886-A361A86E7073}"/>
    <hyperlink ref="O33" r:id="rId19" xr:uid="{7AEB5AFE-F02D-45F1-9A04-84B58054B418}"/>
    <hyperlink ref="F26" r:id="rId20" xr:uid="{1517F85C-3881-4A1E-9C9D-752183177C48}"/>
    <hyperlink ref="F113" r:id="rId21" xr:uid="{C447BB93-D833-4F98-B3C6-48D68D8472BA}"/>
    <hyperlink ref="F27" r:id="rId22" xr:uid="{6670E8F8-0E8A-4C46-9EB5-FB07E48C3475}"/>
    <hyperlink ref="O18" r:id="rId23" xr:uid="{50E3E52E-B867-4AFC-BBFC-AC02661857AE}"/>
    <hyperlink ref="O19" r:id="rId24" xr:uid="{2ECED4FA-547D-4816-975A-30C2174A9743}"/>
    <hyperlink ref="O35" r:id="rId25" xr:uid="{E2F99F12-CF73-44BA-9FB7-B507F3CAA8F5}"/>
    <hyperlink ref="O36" r:id="rId26" xr:uid="{0C84D3D3-D113-4467-8732-1255498F08D7}"/>
    <hyperlink ref="O37" r:id="rId27" xr:uid="{48562DED-859E-44CE-80A0-51DE3A2626C2}"/>
    <hyperlink ref="O38" r:id="rId28" xr:uid="{0ADEA9CD-F061-4122-A939-653735D7E9A1}"/>
    <hyperlink ref="O39" r:id="rId29" xr:uid="{45E4EEFA-93DC-427A-8ECD-7951F228E837}"/>
    <hyperlink ref="O40" r:id="rId30" xr:uid="{9419E0DB-6825-4AB4-B49C-FF4EE536878C}"/>
    <hyperlink ref="L114" r:id="rId31" xr:uid="{E641BE37-F8E4-45CE-9CB4-588BF0F8068A}"/>
    <hyperlink ref="L21" r:id="rId32" xr:uid="{51ED40A1-BA3A-4E36-98D9-2C637919A6B1}"/>
    <hyperlink ref="F29" r:id="rId33" xr:uid="{CF8DE337-3E3C-4495-B803-A5F515B68A63}"/>
    <hyperlink ref="O41" r:id="rId34" xr:uid="{9061C25F-97F8-4529-97A8-257FF3AA907B}"/>
    <hyperlink ref="L113" r:id="rId35" xr:uid="{3064C572-DEBE-4C74-91D1-67B6A98AFB34}"/>
    <hyperlink ref="N147" r:id="rId36" xr:uid="{09A30557-442A-4C3C-A297-97456CAEB2A7}"/>
    <hyperlink ref="D16" r:id="rId37" xr:uid="{88E30E97-01F3-4A63-9C3A-536CA5A991C2}"/>
    <hyperlink ref="F16" r:id="rId38" xr:uid="{039F8329-3680-4517-9151-1DEC23FC695F}"/>
    <hyperlink ref="F25" r:id="rId39" xr:uid="{767DAD6E-515F-4985-B283-906AB17891AF}"/>
    <hyperlink ref="L26" r:id="rId40" xr:uid="{BDA5D2D5-6AF2-40B6-9E54-68FCBC3CE305}"/>
    <hyperlink ref="L17" r:id="rId41" xr:uid="{5D1C0589-C26E-4522-8D12-6C71386079BC}"/>
    <hyperlink ref="L27" r:id="rId42" xr:uid="{9F7E7955-D061-456B-9B0F-8174EE5AD2C5}"/>
    <hyperlink ref="D42" r:id="rId43" xr:uid="{F970A075-7582-42CA-BABB-7717A12EF7C4}"/>
    <hyperlink ref="F23" r:id="rId44" xr:uid="{24AFBA97-50CF-4837-AAC0-FB03F57F901F}"/>
    <hyperlink ref="G23" r:id="rId45" xr:uid="{B14473D4-18DC-4722-BD76-D6C062F4C492}"/>
    <hyperlink ref="H23" r:id="rId46" xr:uid="{D3549982-7F5D-41C1-9313-82A59D55B3A7}"/>
    <hyperlink ref="L25" r:id="rId47" xr:uid="{B142FEF9-765B-484E-A1E4-E15C40FE2D7D}"/>
    <hyperlink ref="F42" r:id="rId48" xr:uid="{D250486C-73BE-4D69-B1A6-E2BBD0591DF8}"/>
    <hyperlink ref="G42" r:id="rId49" xr:uid="{4046CC99-3EA7-4E74-9A4F-7B444E025D76}"/>
    <hyperlink ref="F148" r:id="rId50" xr:uid="{48406EDD-1CA5-4493-9F23-1E7B65C96ADB}"/>
    <hyperlink ref="O49" r:id="rId51" xr:uid="{1CF5C70B-6DEB-4E46-A05F-79B4062086DC}"/>
    <hyperlink ref="O48" r:id="rId52" xr:uid="{947C1E77-4927-4B78-A253-994C1D7A1B75}"/>
    <hyperlink ref="O45" r:id="rId53" xr:uid="{296EC71E-AE6E-48B9-9235-EAB00F4F6134}"/>
    <hyperlink ref="O43" r:id="rId54" xr:uid="{D4737B3E-5B3B-439C-B2F0-463134E88E6B}"/>
    <hyperlink ref="O27" r:id="rId55" xr:uid="{6B5745DD-C654-4E24-A515-BEC8FFC2D9D0}"/>
    <hyperlink ref="O26" r:id="rId56" xr:uid="{838D3931-F7EF-4C0B-8A2B-9D2985806F7E}"/>
    <hyperlink ref="O21" r:id="rId57" xr:uid="{41FA97F2-3599-4ECE-94DA-B7EEC5B2DA12}"/>
    <hyperlink ref="O17" r:id="rId58" xr:uid="{79166371-98CE-4558-A189-F5CD29625C7A}"/>
    <hyperlink ref="F46" r:id="rId59" xr:uid="{229FE0D4-2E8E-49C4-8088-58404638ACE1}"/>
    <hyperlink ref="L42" r:id="rId60" xr:uid="{1C3E912F-3DC5-40E6-81B9-FEA8AA6C09DC}"/>
    <hyperlink ref="L16" r:id="rId61" xr:uid="{2D0F8739-4A25-45DC-8354-1011B45F6783}"/>
    <hyperlink ref="I23" r:id="rId62" xr:uid="{09185DEB-7B60-4B0A-B7B5-D3557CD013E3}"/>
    <hyperlink ref="F50" r:id="rId63" xr:uid="{04B13900-AA8A-4943-8185-F79CDFC58181}"/>
    <hyperlink ref="F116" r:id="rId64" xr:uid="{AA1A4B48-F969-499A-9659-23E3B6DF90DE}"/>
    <hyperlink ref="F117" r:id="rId65" xr:uid="{B9876050-8214-4CE1-A836-8DD2D31D43D2}"/>
    <hyperlink ref="F121" r:id="rId66" xr:uid="{35DCDAED-2602-4DC9-889B-B826A6836A28}"/>
    <hyperlink ref="L46" r:id="rId67" xr:uid="{21D5EB52-D9F4-4F45-B77C-72C351617F7B}"/>
    <hyperlink ref="L116" r:id="rId68" xr:uid="{2BB9B5E8-EDAE-432D-AD7E-F10FAB0A9E60}"/>
    <hyperlink ref="L117" r:id="rId69" xr:uid="{EF0DC675-7D88-4E2F-83EC-11BA8BDCD0B7}"/>
    <hyperlink ref="F122" r:id="rId70" xr:uid="{6777CF79-A0BE-433E-9CD4-950346EBC448}"/>
    <hyperlink ref="F183" r:id="rId71" xr:uid="{7DC79AFE-DCEE-4610-8701-37041020C34B}"/>
    <hyperlink ref="O51" r:id="rId72" xr:uid="{1C616332-B57A-431B-816D-6FE866394FEB}"/>
    <hyperlink ref="O46" r:id="rId73" xr:uid="{783AC8AA-5C24-437D-9C48-19D1F693E45E}"/>
    <hyperlink ref="F44" r:id="rId74" xr:uid="{67651482-A878-4082-B6FA-898BDC98AE39}"/>
    <hyperlink ref="O42" r:id="rId75" xr:uid="{3F9DDD32-5621-4131-AF46-0A7110BC3166}"/>
    <hyperlink ref="O25" r:id="rId76" xr:uid="{543B0979-57E7-483A-8966-1A095AE0F862}"/>
    <hyperlink ref="O16" r:id="rId77" xr:uid="{AFAF309F-4A7A-4C58-A56A-36E6D4B0BE54}"/>
    <hyperlink ref="L122" r:id="rId78" xr:uid="{0906DD17-1DBE-4202-8BBF-9E599814EA5B}"/>
    <hyperlink ref="L121" r:id="rId79" xr:uid="{7A2EF41B-50FB-40EB-B9F1-508E18A5BB43}"/>
    <hyperlink ref="F125" r:id="rId80" xr:uid="{FB5E2B30-D8D7-4484-8060-5C0CFEBC09B9}"/>
    <hyperlink ref="F124" r:id="rId81" xr:uid="{6F900D77-5451-40B6-9BC2-D7382900DE4C}"/>
    <hyperlink ref="F118" r:id="rId82" xr:uid="{EFD4332B-5361-4457-9AE9-F23AD2749815}"/>
    <hyperlink ref="F52" r:id="rId83" xr:uid="{7F2B8C68-8F27-4A44-B0C0-614D48151CEF}"/>
    <hyperlink ref="L50" r:id="rId84" xr:uid="{287695B9-5E42-43CF-9224-E525F61C122F}"/>
    <hyperlink ref="F47" r:id="rId85" xr:uid="{AE49DA67-66CD-482E-B34F-3EB5316926FB}"/>
    <hyperlink ref="L44" r:id="rId86" xr:uid="{37DEE006-1786-46C2-902B-EA07FA70057F}"/>
    <hyperlink ref="O50" r:id="rId87" xr:uid="{0F75E121-B43D-4CE3-B799-2E1AA1E7DEF6}"/>
    <hyperlink ref="O53" r:id="rId88" xr:uid="{9DF21C43-DA25-41F3-AB99-DBF15BDDAD12}"/>
    <hyperlink ref="O55" r:id="rId89" xr:uid="{C8F49C06-CED7-4709-ACDE-11A84E31E3E7}"/>
    <hyperlink ref="D54" r:id="rId90" xr:uid="{EA677232-946B-46D1-9CE1-EA18C3C099FB}"/>
    <hyperlink ref="F54" r:id="rId91" xr:uid="{9CA1A8D5-1603-488C-8979-1AC1F6E66174}"/>
    <hyperlink ref="F56" r:id="rId92" xr:uid="{7C644038-BBB6-494C-9FB8-E76B70AB6273}"/>
    <hyperlink ref="L118" r:id="rId93" xr:uid="{254AEF56-16BE-4A8B-9944-30DD42910A85}"/>
    <hyperlink ref="G125" r:id="rId94" xr:uid="{07D24A6D-786B-49A4-B976-844B7AD97867}"/>
    <hyperlink ref="F34" r:id="rId95" xr:uid="{542A2337-D62B-4F6E-8C52-32CD497CB9D6}"/>
    <hyperlink ref="F57" r:id="rId96" xr:uid="{880C3B9E-E5E2-4B01-8019-42B8009AEDCC}"/>
    <hyperlink ref="F119" r:id="rId97" xr:uid="{4CC0160C-0BCD-462C-8AD0-69FD04549D34}"/>
    <hyperlink ref="F123" r:id="rId98" xr:uid="{3E266DC6-DF11-457B-8D39-FB29A36706FD}"/>
    <hyperlink ref="F126" r:id="rId99" xr:uid="{FC500623-54D9-4F47-9889-B24B7ED85114}"/>
    <hyperlink ref="F127" r:id="rId100" xr:uid="{38D780FE-A4BE-44A1-AB5E-D30CB672DE05}"/>
    <hyperlink ref="L124" r:id="rId101" xr:uid="{9DEE8AC4-6BF5-4529-9600-3133AC179F31}"/>
    <hyperlink ref="L125" r:id="rId102" xr:uid="{E2C48D0C-CBC2-4EA7-B132-6AB00543EC8B}"/>
    <hyperlink ref="D165" r:id="rId103" xr:uid="{FDDF1720-39E8-4788-B9C0-2C2750472977}"/>
    <hyperlink ref="F165" r:id="rId104" xr:uid="{1EAC73CC-4F1F-4509-874E-CCE386F53ABE}"/>
    <hyperlink ref="L127" r:id="rId105" xr:uid="{4481C085-143D-4831-BE95-0214CDE7FE65}"/>
    <hyperlink ref="L54" r:id="rId106" xr:uid="{9E577FFD-6E07-47A2-A590-75B72614A4D6}"/>
    <hyperlink ref="L47" r:id="rId107" xr:uid="{9DFF6BE4-D60F-4EBB-8061-595FFD8471E6}"/>
    <hyperlink ref="L34" r:id="rId108" xr:uid="{4B2C1C5A-2B25-4033-AFF5-04C08468C678}"/>
    <hyperlink ref="L56" r:id="rId109" xr:uid="{4696AA04-B1DE-4BE9-AC95-4DF426A5F1A2}"/>
    <hyperlink ref="L119" r:id="rId110" xr:uid="{AE304186-3485-4919-8B42-DDC13BC978CD}"/>
    <hyperlink ref="L126" r:id="rId111" xr:uid="{D517E53B-CB90-4127-A7F3-22CA25782F3D}"/>
    <hyperlink ref="G165" r:id="rId112" xr:uid="{65C657B6-FA8F-4271-AC03-51B8E098C4AB}"/>
    <hyperlink ref="O47" r:id="rId113" xr:uid="{1C074080-EF0C-460E-BDBA-0A95E9CFA388}"/>
    <hyperlink ref="L52" r:id="rId114" xr:uid="{21CCD66F-EC02-4587-9E0A-B271A52495E9}"/>
    <hyperlink ref="O58" r:id="rId115" xr:uid="{3F4B5B12-CBFB-40D6-8047-27843E6AD733}"/>
    <hyperlink ref="O59" r:id="rId116" xr:uid="{33B11389-1089-4690-B408-5F142F163F59}"/>
    <hyperlink ref="D60" r:id="rId117" xr:uid="{104B8EC3-E48F-46A0-9DA2-8EA2ED490AD4}"/>
    <hyperlink ref="L123" r:id="rId118" xr:uid="{2539FCA5-04F8-4DD8-9837-A12EE9F89A4B}"/>
    <hyperlink ref="O34" r:id="rId119" xr:uid="{75FB20D6-E325-4744-9FB4-06E9AC27880D}"/>
    <hyperlink ref="O54" r:id="rId120" xr:uid="{A26DBE1B-CD45-4EDC-9401-807A71A98F5B}"/>
    <hyperlink ref="O56" r:id="rId121" xr:uid="{4045C30F-66D0-4149-9573-FCAAD4FFC3E2}"/>
    <hyperlink ref="O61" r:id="rId122" xr:uid="{D597C532-54EB-42F4-B0C6-AE07E97EEC6E}"/>
    <hyperlink ref="O62" r:id="rId123" xr:uid="{C488C36B-883D-42DB-9163-9C0D5496B9D0}"/>
    <hyperlink ref="L57" r:id="rId124" xr:uid="{4D955280-DA0D-4858-AC4A-C9019BFCA881}"/>
    <hyperlink ref="F60" r:id="rId125" xr:uid="{15D92A9B-3783-4681-883D-142ED3C12474}"/>
    <hyperlink ref="L165" r:id="rId126" xr:uid="{87E158C2-CA6B-4E51-BA3E-752393752F2B}"/>
    <hyperlink ref="D64" r:id="rId127" xr:uid="{2A4D16B8-B991-4B95-A886-DB218E696960}"/>
    <hyperlink ref="F64" r:id="rId128" xr:uid="{12C375FE-0985-455D-9E73-E8FC35FC2909}"/>
    <hyperlink ref="O165" r:id="rId129" xr:uid="{B65A368A-7A22-4B3E-A7A5-0F9A9ACD1F96}"/>
    <hyperlink ref="O66" r:id="rId130" xr:uid="{73CD1FDD-F8B7-4D63-918C-5D86E160FE10}"/>
    <hyperlink ref="O67" r:id="rId131" xr:uid="{C63022CA-406A-4AD1-8999-D9658B8EAE50}"/>
    <hyperlink ref="O68" r:id="rId132" xr:uid="{3408CA75-4A48-4782-906F-0FC8BCF4937E}"/>
    <hyperlink ref="O69" r:id="rId133" xr:uid="{3433F34D-8C3C-4DF9-B324-430C753CF499}"/>
    <hyperlink ref="O70" r:id="rId134" xr:uid="{3C4DD367-0F0E-46C5-9A53-107C63ED0978}"/>
    <hyperlink ref="O71" r:id="rId135" xr:uid="{7E2B2254-F5F4-4A39-A4D4-343B41D6B3AB}"/>
    <hyperlink ref="D63" r:id="rId136" xr:uid="{24BC6A34-3509-4AF5-A662-EF4241A01C4F}"/>
    <hyperlink ref="F63" r:id="rId137" xr:uid="{FFE37B15-FE73-4A22-A6DD-03A299CD2AB1}"/>
    <hyperlink ref="L64" r:id="rId138" xr:uid="{6422AEB3-6842-492F-B8A1-7DBD6311E1C2}"/>
    <hyperlink ref="L60" r:id="rId139" xr:uid="{F0CCC0AA-E2AB-453E-AEDD-450785DBAC85}"/>
    <hyperlink ref="O57" r:id="rId140" xr:uid="{7C6FD031-D746-4267-BE88-CE5B44ECBCD4}"/>
    <hyperlink ref="O52" r:id="rId141" xr:uid="{702C3DAD-268B-4890-8127-570C79211F70}"/>
    <hyperlink ref="O74" r:id="rId142" xr:uid="{5B89ECD3-1C41-4543-9010-5221515BCB91}"/>
    <hyperlink ref="O73" r:id="rId143" xr:uid="{2D38A307-CF0F-41EE-A59B-0738B7A100E1}"/>
    <hyperlink ref="O60" r:id="rId144" xr:uid="{C515AC1C-919D-49DB-90D6-9DD13F88CC9F}"/>
    <hyperlink ref="O64" r:id="rId145" xr:uid="{1564A7CA-7E7A-4FBA-9701-36EC7DF031F2}"/>
    <hyperlink ref="D72" r:id="rId146" xr:uid="{795BDF5F-2A3B-41FD-9CE0-DE861D18ADB5}"/>
    <hyperlink ref="F72" r:id="rId147" xr:uid="{0240AE0F-BA1A-48B3-B280-03D2B289C73A}"/>
    <hyperlink ref="G52" r:id="rId148" xr:uid="{6A12BBA4-D2B6-44E2-8E75-77896A3169E1}"/>
    <hyperlink ref="H165" r:id="rId149" xr:uid="{18A0D0DE-604A-4B1D-9068-65675218A781}"/>
    <hyperlink ref="L63" r:id="rId150" xr:uid="{9808F2A3-3AEE-4D12-B4E4-7FB6C465DB58}"/>
    <hyperlink ref="L72" r:id="rId151" xr:uid="{3861DA04-29F4-4965-A3A4-DEAE0D0402EE}"/>
    <hyperlink ref="F184" r:id="rId152" xr:uid="{A5E2708C-FB43-4771-B4B1-D55EA9C38B5E}"/>
    <hyperlink ref="G184" r:id="rId153" xr:uid="{014E568B-33CE-4166-8D71-6163EB2C0B4C}"/>
    <hyperlink ref="F128" r:id="rId154" xr:uid="{D1244464-20D3-4665-BC81-83C48599F1A9}"/>
    <hyperlink ref="D76" r:id="rId155" xr:uid="{ACEF1959-C7B1-45C6-ABDE-F522061C9B36}"/>
    <hyperlink ref="D77" r:id="rId156" xr:uid="{9BEF008F-B4D4-4D98-8B7E-58A780E2E728}"/>
    <hyperlink ref="F76" r:id="rId157" xr:uid="{90EA1CAF-1F0C-4B2B-832F-CDE5A9B1DE67}"/>
    <hyperlink ref="F77" r:id="rId158" xr:uid="{FAEC6837-E5F0-4E91-9AC0-83CADA8EF67A}"/>
    <hyperlink ref="O63" r:id="rId159" xr:uid="{957ACDA8-EE01-4667-9FA6-B008EAF13808}"/>
    <hyperlink ref="G76" r:id="rId160" xr:uid="{84BAFB6F-83DA-4587-A11A-65719DD39A3D}"/>
    <hyperlink ref="L76" r:id="rId161" xr:uid="{1EB70F74-933B-4351-A4A7-CD63599DC582}"/>
    <hyperlink ref="L77" r:id="rId162" xr:uid="{BEA2F63D-CDBB-4139-9050-DD5D8B2986D9}"/>
    <hyperlink ref="D78" r:id="rId163" xr:uid="{4EFF55DB-CB6F-4B6D-B406-86725F0708F9}"/>
    <hyperlink ref="D79" r:id="rId164" xr:uid="{027B4097-FB19-4695-8116-1B4F7458821C}"/>
    <hyperlink ref="F78" r:id="rId165" xr:uid="{1D8B7C87-78FF-4B3E-BA92-18612C8E3942}"/>
    <hyperlink ref="F79" r:id="rId166" xr:uid="{F984C3DC-25E2-4987-98D4-C6EE30E37AFF}"/>
    <hyperlink ref="O81" r:id="rId167" xr:uid="{6BB1EEDC-5783-4205-B5F9-E2880ACBB285}"/>
    <hyperlink ref="O83" r:id="rId168" xr:uid="{82D01621-967C-4891-90DF-E2F62D892189}"/>
    <hyperlink ref="L128" r:id="rId169" xr:uid="{3D974BDE-5812-49B6-8800-D9198263BFB5}"/>
    <hyperlink ref="F129" r:id="rId170" xr:uid="{34176367-D23A-464A-BB08-1EAEDDAB6250}"/>
    <hyperlink ref="F185" r:id="rId171" xr:uid="{3064B148-A984-4759-A932-CC3741D57259}"/>
    <hyperlink ref="G185" r:id="rId172" xr:uid="{43B42CCA-FE04-485A-9113-47616EC908A0}"/>
    <hyperlink ref="G129" r:id="rId173" xr:uid="{E35C1B91-37E3-4988-BB39-E64B6F70B8BF}"/>
    <hyperlink ref="L129" r:id="rId174" xr:uid="{016535B1-84C7-4B31-A6A0-F1D6B0EC153F}"/>
    <hyperlink ref="D80" r:id="rId175" xr:uid="{2174616B-AC1F-4DB8-BE23-44A39977414D}"/>
    <hyperlink ref="D84" r:id="rId176" xr:uid="{1245D4FB-42CF-4C39-A266-3174D8C3310B}"/>
    <hyperlink ref="F80" r:id="rId177" xr:uid="{998276C6-5C2C-431A-853D-22A29D040642}"/>
    <hyperlink ref="F84" r:id="rId178" xr:uid="{F9697835-FCB0-481F-8EB3-92C312099EA2}"/>
    <hyperlink ref="G78" r:id="rId179" xr:uid="{A0553194-1B1A-4620-91BD-5C0DEDD9590F}"/>
    <hyperlink ref="L78" r:id="rId180" xr:uid="{FD13060A-5A18-4B29-8F02-6820171B347E}"/>
    <hyperlink ref="L79" r:id="rId181" xr:uid="{62E10A65-3DC9-4DDF-939D-BBA2C605D717}"/>
    <hyperlink ref="O76" r:id="rId182" xr:uid="{5EB66396-D54D-41A6-81C0-9BC3DD554913}"/>
    <hyperlink ref="O77" r:id="rId183" xr:uid="{729C566B-3FCB-49E6-80C6-E4AD48CEB356}"/>
    <hyperlink ref="O85" r:id="rId184" xr:uid="{818254C5-1405-4826-B810-A9E113520CF7}"/>
    <hyperlink ref="O86" r:id="rId185" xr:uid="{823D5064-CA24-44E4-A684-1884497A7B24}"/>
    <hyperlink ref="O87" r:id="rId186" xr:uid="{299D7410-FA25-495C-839F-D5A945E0DA5B}"/>
    <hyperlink ref="O89" r:id="rId187" xr:uid="{59BEC73A-9199-4AA9-8A85-0F292A8FF92F}"/>
    <hyperlink ref="F149" r:id="rId188" xr:uid="{5B9A94EB-7F08-4439-9FEA-C0B4343EF222}"/>
    <hyperlink ref="H184" r:id="rId189" xr:uid="{D6614438-7FFA-49EC-84E1-779028046291}"/>
    <hyperlink ref="I184" r:id="rId190" xr:uid="{15623C49-0FE5-4BB4-988E-AC933771A8F8}"/>
    <hyperlink ref="F65" r:id="rId191" xr:uid="{D36E2543-3C24-4EDE-9115-01E47B5DB837}"/>
    <hyperlink ref="O72" r:id="rId192" xr:uid="{00CAE8E4-1C23-4580-B310-ACE20AE11DEF}"/>
    <hyperlink ref="O78" r:id="rId193" xr:uid="{16EB4468-F755-48B2-A95B-3EAE0D32503F}"/>
    <hyperlink ref="O79" r:id="rId194" xr:uid="{88602874-3B28-4D10-B675-84F13DFB33BC}"/>
    <hyperlink ref="O88" r:id="rId195" xr:uid="{D0D0B2E9-054C-4C1B-8953-B3DAA346DA09}"/>
    <hyperlink ref="L80" r:id="rId196" xr:uid="{2F163531-723C-4C6B-9FCA-7196EC6ED0C3}"/>
    <hyperlink ref="L84" r:id="rId197" xr:uid="{DC5D8D4F-0052-40C7-8CC7-F4111289EF6B}"/>
    <hyperlink ref="G149" r:id="rId198" xr:uid="{8F0E2579-14FD-4C7B-AC45-0E1DAAFE8C54}"/>
    <hyperlink ref="J184" r:id="rId199" xr:uid="{F23A8CB0-20E9-4C19-A7CD-707987F29969}"/>
    <hyperlink ref="H149" r:id="rId200" xr:uid="{26082CF8-1534-4321-B4BF-F6FEDFE567E2}"/>
    <hyperlink ref="G65" r:id="rId201" xr:uid="{26113F7F-202E-47AA-A100-53AE81694172}"/>
    <hyperlink ref="O80" r:id="rId202" xr:uid="{FCC059F6-98BA-4797-991C-82828790C8D3}"/>
    <hyperlink ref="H65" r:id="rId203" xr:uid="{56D5892C-D6C9-4916-83E7-D6327CDCF66D}"/>
    <hyperlink ref="D166" r:id="rId204" xr:uid="{1454DC79-143C-4E73-AA67-69463FD651EE}"/>
    <hyperlink ref="F166" r:id="rId205" xr:uid="{A0CF94CF-AEE5-45A1-BFE5-CC0EE3173577}"/>
    <hyperlink ref="O92" r:id="rId206" xr:uid="{ACB66F25-E6BE-46F5-879A-80CAE49F6040}"/>
    <hyperlink ref="O91" r:id="rId207" xr:uid="{2610597F-AC62-4240-85CE-7A393F3CC867}"/>
    <hyperlink ref="D75" r:id="rId208" xr:uid="{5C5EBD2D-91A7-49C3-8551-0726B6A8809C}"/>
    <hyperlink ref="L65" r:id="rId209" xr:uid="{F48628EC-3527-4BFF-A6AC-8424F35244CE}"/>
    <hyperlink ref="G166" r:id="rId210" xr:uid="{B487126D-B775-4B40-8AD9-82347C9BA11B}"/>
    <hyperlink ref="H166" r:id="rId211" xr:uid="{C12F3C90-683D-414C-B4E9-6ADCF667359D}"/>
    <hyperlink ref="F130" r:id="rId212" xr:uid="{161BE271-2C29-4B43-9AC5-5B2FE817F141}"/>
    <hyperlink ref="F131" r:id="rId213" xr:uid="{BF875DA8-38BB-4AC2-8227-BAD00CD1AED0}"/>
    <hyperlink ref="F75" r:id="rId214" xr:uid="{AAC8A923-1481-4796-B0EA-E367A605F0B0}"/>
    <hyperlink ref="F90" r:id="rId215" xr:uid="{9D278D0D-F975-46E4-A183-5DAE4058D8E4}"/>
    <hyperlink ref="D93" r:id="rId216" xr:uid="{7372903F-E5A2-400A-A828-251B60E96931}"/>
    <hyperlink ref="D94" r:id="rId217" xr:uid="{995EDC34-681F-454E-AC6E-F16077E2E0A9}"/>
    <hyperlink ref="D95" r:id="rId218" xr:uid="{7480D086-4104-415E-BBDD-021625B492E5}"/>
    <hyperlink ref="D97" r:id="rId219" xr:uid="{B9354D7A-45CE-47C9-9F41-2512E2A6B0C7}"/>
    <hyperlink ref="F97" r:id="rId220" xr:uid="{48AD70D3-C3F2-4722-B254-3BBBF5549078}"/>
    <hyperlink ref="F93" r:id="rId221" xr:uid="{CD38666E-255F-434B-9696-0FA5A60C7C75}"/>
    <hyperlink ref="F94" r:id="rId222" xr:uid="{1445F5EB-7F3E-45D6-A5DC-E930802D215E}"/>
    <hyperlink ref="F95" r:id="rId223" xr:uid="{4C0568B1-7F1B-4F39-83E7-E3F5342A5151}"/>
    <hyperlink ref="L166" r:id="rId224" xr:uid="{45D52325-5EFD-4E8E-B39C-FA33C63646ED}"/>
    <hyperlink ref="O96" r:id="rId225" xr:uid="{865D2413-959B-4B5F-A7F5-FEBC1FFA3C22}"/>
    <hyperlink ref="G90" r:id="rId226" xr:uid="{AC069711-C3C8-45FA-A57D-2A71B6E60581}"/>
    <hyperlink ref="O65" r:id="rId227" xr:uid="{BF4C7C89-CBFD-4F2B-94AA-0B08566AD889}"/>
    <hyperlink ref="L75" r:id="rId228" xr:uid="{0B6EAC08-83FB-4C34-B46A-D3246DB6C698}"/>
    <hyperlink ref="L90" r:id="rId229" xr:uid="{3DD91231-4D1A-4995-8049-B48CFB27286C}"/>
    <hyperlink ref="L93" r:id="rId230" xr:uid="{B5C47BA0-0360-4A60-AFE9-2C0A2482E0EF}"/>
    <hyperlink ref="L94" r:id="rId231" xr:uid="{15854974-FFF9-4E71-89B0-05F9B4D9789A}"/>
    <hyperlink ref="L95" r:id="rId232" xr:uid="{0FA7A382-C781-468D-9889-984803104849}"/>
    <hyperlink ref="L97" r:id="rId233" xr:uid="{9E509F5C-7AE7-4C5C-A375-719559CA15A9}"/>
    <hyperlink ref="L131" r:id="rId234" xr:uid="{DC64D22E-D7CA-40C2-9692-DECCA152AB7E}"/>
    <hyperlink ref="O75" r:id="rId235" xr:uid="{0FFF5042-4971-476E-B2DC-C267E8E8EBDF}"/>
    <hyperlink ref="O90" r:id="rId236" xr:uid="{674804A0-6623-4B94-8D91-50798F1C39A5}"/>
    <hyperlink ref="O97" r:id="rId237" xr:uid="{9F4A64DB-1871-4076-B0B5-1BAC55B892DD}"/>
    <hyperlink ref="O166" r:id="rId238" xr:uid="{49B0ADE3-D08C-40A8-888E-FD8CBC42FFF3}"/>
    <hyperlink ref="L130" r:id="rId239" xr:uid="{6C268E5C-FE1E-4245-ACFC-EF87F64FE447}"/>
    <hyperlink ref="O93" r:id="rId240" xr:uid="{149A98F7-A85D-49BA-865A-B7261C74770A}"/>
    <hyperlink ref="O94" r:id="rId241" xr:uid="{7FFC1E2E-3E57-4001-97B5-41FBE046EFD2}"/>
    <hyperlink ref="O95" r:id="rId242" xr:uid="{CBA73AED-EA79-424B-919E-A4DF7DE9B838}"/>
    <hyperlink ref="N184" r:id="rId243" xr:uid="{65B68601-2801-4A3E-8ABD-20A7C17A514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2022</vt:lpstr>
      <vt:lpstr>2021</vt:lpstr>
      <vt:lpstr>2020</vt:lpstr>
      <vt:lpstr>2019</vt:lpstr>
      <vt:lpstr>2018</vt:lpstr>
      <vt:lpstr>'2021'!Print_Area</vt:lpstr>
    </vt:vector>
  </TitlesOfParts>
  <Company>City of Richardson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Kirkland</dc:creator>
  <cp:lastModifiedBy>Katrina Wallace</cp:lastModifiedBy>
  <cp:lastPrinted>2021-07-14T14:26:21Z</cp:lastPrinted>
  <dcterms:created xsi:type="dcterms:W3CDTF">2002-08-06T17:09:32Z</dcterms:created>
  <dcterms:modified xsi:type="dcterms:W3CDTF">2022-01-27T17:42:22Z</dcterms:modified>
</cp:coreProperties>
</file>